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G:\Duurzaamheid\Materialen wijzer\"/>
    </mc:Choice>
  </mc:AlternateContent>
  <xr:revisionPtr revIDLastSave="0" documentId="14_{6F6C0B2D-B061-4B6A-8BB7-8F4BAE7B2979}" xr6:coauthVersionLast="47" xr6:coauthVersionMax="47" xr10:uidLastSave="{00000000-0000-0000-0000-000000000000}"/>
  <bookViews>
    <workbookView xWindow="-120" yWindow="-120" windowWidth="29040" windowHeight="15840" activeTab="2" xr2:uid="{00000000-000D-0000-FFFF-FFFF00000000}"/>
  </bookViews>
  <sheets>
    <sheet name="Lees mij" sheetId="19" r:id="rId1"/>
    <sheet name="Innovatieve Duurzame opties" sheetId="18" state="hidden" r:id="rId2"/>
    <sheet name="Invoer en resultaat" sheetId="2" r:id="rId3"/>
    <sheet name="Database" sheetId="9" r:id="rId4"/>
    <sheet name="MKI-waarden" sheetId="12" r:id="rId5"/>
    <sheet name="Uitleg invoer" sheetId="20" r:id="rId6"/>
    <sheet name="Uitleg uitvoer" sheetId="21" r:id="rId7"/>
    <sheet name="Uitleg referentie" sheetId="22" r:id="rId8"/>
    <sheet name="Keuzemenu Functie" sheetId="16" state="hidden" r:id="rId9"/>
    <sheet name="Uitleg Kleurcode relatieve MKI" sheetId="14" r:id="rId10"/>
  </sheets>
  <definedNames>
    <definedName name="_xlnm._FilterDatabase" localSheetId="3" hidden="1">Database!$A$3:$Y$464</definedName>
    <definedName name="_xlnm._FilterDatabase" localSheetId="4" hidden="1">'MKI-waarden'!$A$3:$P$117</definedName>
    <definedName name="_xlnm.Print_Area" localSheetId="2">'Invoer en resultaat'!$A$1:$R$29</definedName>
    <definedName name="Elementenvariantenlijst">'Keuzemenu Functie'!$H$5:$H$78</definedName>
    <definedName name="lijst_element_code">'Invoer en resultaat'!#REF!</definedName>
    <definedName name="lijst_object_code">'Invoer en resultaat'!#REF!</definedName>
    <definedName name="lijstobjectcode">'Invoer en resultaat'!#REF!</definedName>
    <definedName name="Materialenlijst">Database!$H$5:$H$465</definedName>
    <definedName name="maxlijst_element_code">'Invoer en resultaat'!#REF!</definedName>
    <definedName name="maxlijst_object_code">'Invoer en resultaat'!#REF!</definedName>
    <definedName name="minlijst_element_code">'Invoer en resultaat'!#REF!</definedName>
    <definedName name="minlijst_object_code">'Invoer en resultaat'!#REF!</definedName>
    <definedName name="Objectenvariantenlijst">'Keuzemenu Functie'!$B$5:$B$20</definedName>
    <definedName name="Peilscheiding_Stuw__Damwand" localSheetId="3">'Keuzemenu Functie'!$B$5:$B$20</definedName>
    <definedName name="selectie_elementnamen">'Invoer en resultaat'!#REF!</definedName>
    <definedName name="selectie_objectnamen">'Invoer en resultaat'!#REF!</definedName>
  </definedNames>
  <calcPr calcId="191029" iterateCount="0" iterateDelta="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0" i="9" l="1"/>
  <c r="A20" i="9"/>
  <c r="F20" i="9"/>
  <c r="D20" i="9"/>
  <c r="Q369" i="9"/>
  <c r="R369" i="9"/>
  <c r="E369" i="9"/>
  <c r="B369" i="9"/>
  <c r="Q354" i="9"/>
  <c r="R354" i="9"/>
  <c r="E354" i="9"/>
  <c r="B354" i="9"/>
  <c r="Q328" i="9"/>
  <c r="R328" i="9"/>
  <c r="E328" i="9"/>
  <c r="B328" i="9"/>
  <c r="Q189" i="9"/>
  <c r="R189" i="9"/>
  <c r="E189" i="9"/>
  <c r="B189" i="9"/>
  <c r="Q132" i="9"/>
  <c r="E132" i="9"/>
  <c r="B132" i="9"/>
  <c r="E42" i="9"/>
  <c r="B42" i="9"/>
  <c r="Q400" i="9"/>
  <c r="S400" i="9"/>
  <c r="E400" i="9"/>
  <c r="B400" i="9"/>
  <c r="Q269" i="9"/>
  <c r="S269" i="9"/>
  <c r="E269" i="9"/>
  <c r="B269" i="9"/>
  <c r="Q181" i="9"/>
  <c r="S181" i="9"/>
  <c r="E181" i="9"/>
  <c r="B181" i="9"/>
  <c r="Q33" i="9"/>
  <c r="R33" i="9"/>
  <c r="E33" i="9"/>
  <c r="B33" i="9"/>
  <c r="Q28" i="9"/>
  <c r="S28" i="9"/>
  <c r="E28" i="9"/>
  <c r="B28" i="9"/>
  <c r="Q21" i="9"/>
  <c r="S21" i="9"/>
  <c r="E21" i="9"/>
  <c r="B21" i="9"/>
  <c r="E214" i="9"/>
  <c r="B214" i="9"/>
  <c r="Q452" i="9"/>
  <c r="S452" i="9"/>
  <c r="E452" i="9"/>
  <c r="B452" i="9"/>
  <c r="Q444" i="9"/>
  <c r="S444" i="9"/>
  <c r="E444" i="9"/>
  <c r="B444" i="9"/>
  <c r="Q439" i="9"/>
  <c r="S439" i="9"/>
  <c r="E439" i="9"/>
  <c r="B439" i="9"/>
  <c r="Q426" i="9"/>
  <c r="S426" i="9"/>
  <c r="E426" i="9"/>
  <c r="B426" i="9"/>
  <c r="Q310" i="9"/>
  <c r="S310" i="9"/>
  <c r="E310" i="9"/>
  <c r="B310" i="9"/>
  <c r="Q293" i="9"/>
  <c r="S293" i="9"/>
  <c r="E293" i="9"/>
  <c r="B293" i="9"/>
  <c r="Q287" i="9"/>
  <c r="S287" i="9"/>
  <c r="E287" i="9"/>
  <c r="B287" i="9"/>
  <c r="Q205" i="9"/>
  <c r="S205" i="9"/>
  <c r="E205" i="9"/>
  <c r="B205" i="9"/>
  <c r="Q201" i="9"/>
  <c r="S201" i="9"/>
  <c r="E201" i="9"/>
  <c r="B201" i="9"/>
  <c r="Q114" i="9"/>
  <c r="S114" i="9"/>
  <c r="E114" i="9"/>
  <c r="B114" i="9"/>
  <c r="Q72" i="9"/>
  <c r="S72" i="9"/>
  <c r="E72" i="9"/>
  <c r="B72" i="9"/>
  <c r="Q54" i="9"/>
  <c r="S54" i="9"/>
  <c r="E54" i="9"/>
  <c r="B54" i="9"/>
  <c r="E47" i="9"/>
  <c r="B47" i="9"/>
  <c r="Q47" i="9"/>
  <c r="R47" i="9"/>
  <c r="Q214" i="9"/>
  <c r="R214" i="9"/>
  <c r="Q42" i="9"/>
  <c r="S42" i="9"/>
  <c r="R132" i="9"/>
  <c r="S33" i="9"/>
  <c r="R400" i="9"/>
  <c r="R269" i="9"/>
  <c r="R181" i="9"/>
  <c r="R28" i="9"/>
  <c r="R21" i="9"/>
  <c r="R452" i="9"/>
  <c r="R444" i="9"/>
  <c r="R439" i="9"/>
  <c r="R426" i="9"/>
  <c r="R310" i="9"/>
  <c r="R293" i="9"/>
  <c r="R287" i="9"/>
  <c r="R205" i="9"/>
  <c r="R201" i="9"/>
  <c r="R114" i="9"/>
  <c r="R72" i="9"/>
  <c r="R54" i="9"/>
  <c r="S47" i="9"/>
  <c r="R42" i="9"/>
  <c r="S214" i="9"/>
  <c r="Y463" i="9"/>
  <c r="N23" i="12"/>
  <c r="T463" i="9"/>
  <c r="O23" i="12"/>
  <c r="D23" i="12"/>
  <c r="M463" i="9"/>
  <c r="P312" i="9"/>
  <c r="P313" i="9"/>
  <c r="P314" i="9"/>
  <c r="P315" i="9"/>
  <c r="P316" i="9"/>
  <c r="P317" i="9"/>
  <c r="P318" i="9"/>
  <c r="P319" i="9"/>
  <c r="P320" i="9"/>
  <c r="P321" i="9"/>
  <c r="P322" i="9"/>
  <c r="P311" i="9"/>
  <c r="P117" i="9"/>
  <c r="P120" i="9"/>
  <c r="P115" i="9"/>
  <c r="P116" i="9"/>
  <c r="Y409" i="9"/>
  <c r="Y418" i="9"/>
  <c r="Y362" i="9"/>
  <c r="Y364" i="9"/>
  <c r="Y365" i="9"/>
  <c r="Y366" i="9"/>
  <c r="Y367" i="9"/>
  <c r="Y368" i="9"/>
  <c r="Y374" i="9"/>
  <c r="Y373" i="9"/>
  <c r="Y372" i="9"/>
  <c r="Y370" i="9"/>
  <c r="Y361" i="9"/>
  <c r="Y360" i="9"/>
  <c r="Y359" i="9"/>
  <c r="Y357" i="9"/>
  <c r="Y333" i="9"/>
  <c r="Y332" i="9"/>
  <c r="Y331" i="9"/>
  <c r="Y329" i="9"/>
  <c r="Y139" i="9"/>
  <c r="Y138" i="9"/>
  <c r="Y137" i="9"/>
  <c r="Y224" i="9"/>
  <c r="Y223" i="9"/>
  <c r="Y222" i="9"/>
  <c r="Y221" i="9"/>
  <c r="Y220" i="9"/>
  <c r="Y219" i="9"/>
  <c r="Y218" i="9"/>
  <c r="Y217" i="9"/>
  <c r="Y216" i="9"/>
  <c r="Y215" i="9"/>
  <c r="Y155" i="9"/>
  <c r="Y154" i="9"/>
  <c r="Y153" i="9"/>
  <c r="Y152" i="9"/>
  <c r="Y151" i="9"/>
  <c r="Y150" i="9"/>
  <c r="Y149" i="9"/>
  <c r="Y148" i="9"/>
  <c r="Y147" i="9"/>
  <c r="Y146" i="9"/>
  <c r="Y88" i="9"/>
  <c r="Y85" i="9"/>
  <c r="Y84" i="9"/>
  <c r="Y82" i="9"/>
  <c r="V206" i="9"/>
  <c r="Y303" i="9"/>
  <c r="Y302" i="9"/>
  <c r="Y301" i="9"/>
  <c r="Y300" i="9"/>
  <c r="Y299" i="9"/>
  <c r="Y298" i="9"/>
  <c r="Y296" i="9"/>
  <c r="Y295" i="9"/>
  <c r="Y294" i="9"/>
  <c r="Y250" i="9"/>
  <c r="Y249" i="9"/>
  <c r="Y248" i="9"/>
  <c r="Y247" i="9"/>
  <c r="Y246" i="9"/>
  <c r="Y245" i="9"/>
  <c r="Y243" i="9"/>
  <c r="Y242" i="9"/>
  <c r="Y241" i="9"/>
  <c r="Y165" i="9"/>
  <c r="Y164" i="9"/>
  <c r="Y163" i="9"/>
  <c r="Y162" i="9"/>
  <c r="Y161" i="9"/>
  <c r="Y160" i="9"/>
  <c r="Y158" i="9"/>
  <c r="Y157" i="9"/>
  <c r="Y156" i="9"/>
  <c r="Y104" i="9"/>
  <c r="Y100" i="9"/>
  <c r="Y98" i="9"/>
  <c r="Y97" i="9"/>
  <c r="Y96" i="9"/>
  <c r="Y336" i="9"/>
  <c r="Y334" i="9"/>
  <c r="M334" i="9"/>
  <c r="N14" i="12"/>
  <c r="N17" i="12"/>
  <c r="Q336" i="9"/>
  <c r="S336" i="9"/>
  <c r="Q335" i="9"/>
  <c r="S335" i="9"/>
  <c r="Q334" i="9"/>
  <c r="R334" i="9"/>
  <c r="Y18" i="9"/>
  <c r="Y14" i="9"/>
  <c r="Y12" i="9"/>
  <c r="Y11" i="9"/>
  <c r="W311" i="9"/>
  <c r="P454" i="9"/>
  <c r="T454" i="9"/>
  <c r="U454" i="9"/>
  <c r="V454" i="9"/>
  <c r="W454" i="9"/>
  <c r="X454" i="9"/>
  <c r="P453" i="9"/>
  <c r="T453" i="9"/>
  <c r="U453" i="9"/>
  <c r="V453" i="9"/>
  <c r="W453" i="9"/>
  <c r="X453" i="9"/>
  <c r="X408" i="9"/>
  <c r="W408" i="9"/>
  <c r="X407" i="9"/>
  <c r="W407" i="9"/>
  <c r="X406" i="9"/>
  <c r="W406" i="9"/>
  <c r="X405" i="9"/>
  <c r="W405" i="9"/>
  <c r="X404" i="9"/>
  <c r="W404" i="9"/>
  <c r="X403" i="9"/>
  <c r="W403" i="9"/>
  <c r="X281" i="9"/>
  <c r="W281" i="9"/>
  <c r="X280" i="9"/>
  <c r="W280" i="9"/>
  <c r="X279" i="9"/>
  <c r="W279" i="9"/>
  <c r="X278" i="9"/>
  <c r="W278" i="9"/>
  <c r="X277" i="9"/>
  <c r="W277" i="9"/>
  <c r="X276" i="9"/>
  <c r="W276" i="9"/>
  <c r="X233" i="9"/>
  <c r="W233" i="9"/>
  <c r="X232" i="9"/>
  <c r="W232" i="9"/>
  <c r="X231" i="9"/>
  <c r="W231" i="9"/>
  <c r="X230" i="9"/>
  <c r="W230" i="9"/>
  <c r="X229" i="9"/>
  <c r="W229" i="9"/>
  <c r="X228" i="9"/>
  <c r="W228" i="9"/>
  <c r="X195" i="9"/>
  <c r="W195" i="9"/>
  <c r="X194" i="9"/>
  <c r="W194" i="9"/>
  <c r="X193" i="9"/>
  <c r="W193" i="9"/>
  <c r="X192" i="9"/>
  <c r="W192" i="9"/>
  <c r="X191" i="9"/>
  <c r="W191" i="9"/>
  <c r="X190" i="9"/>
  <c r="W190" i="9"/>
  <c r="X145" i="9"/>
  <c r="W145" i="9"/>
  <c r="X144" i="9"/>
  <c r="W144" i="9"/>
  <c r="X143" i="9"/>
  <c r="W143" i="9"/>
  <c r="X142" i="9"/>
  <c r="W142" i="9"/>
  <c r="X141" i="9"/>
  <c r="W141" i="9"/>
  <c r="X140" i="9"/>
  <c r="W140" i="9"/>
  <c r="X78" i="9"/>
  <c r="X77" i="9"/>
  <c r="X76" i="9"/>
  <c r="X75" i="9"/>
  <c r="X74" i="9"/>
  <c r="X73" i="9"/>
  <c r="W78" i="9"/>
  <c r="W77" i="9"/>
  <c r="W76" i="9"/>
  <c r="W75" i="9"/>
  <c r="W74" i="9"/>
  <c r="W73" i="9"/>
  <c r="Q374" i="9"/>
  <c r="S374" i="9"/>
  <c r="Q373" i="9"/>
  <c r="S373" i="9"/>
  <c r="Q372" i="9"/>
  <c r="S372" i="9"/>
  <c r="T371" i="9"/>
  <c r="Q371" i="9"/>
  <c r="R371" i="9"/>
  <c r="Q370" i="9"/>
  <c r="R370" i="9"/>
  <c r="Q361" i="9"/>
  <c r="S361" i="9"/>
  <c r="Q360" i="9"/>
  <c r="S360" i="9"/>
  <c r="Q359" i="9"/>
  <c r="S359" i="9"/>
  <c r="T358" i="9"/>
  <c r="Q358" i="9"/>
  <c r="R358" i="9"/>
  <c r="Q357" i="9"/>
  <c r="S357" i="9"/>
  <c r="S358" i="9"/>
  <c r="Q333" i="9"/>
  <c r="S333" i="9"/>
  <c r="Q332" i="9"/>
  <c r="R332" i="9"/>
  <c r="Q331" i="9"/>
  <c r="S331" i="9"/>
  <c r="T330" i="9"/>
  <c r="Q330" i="9"/>
  <c r="R330" i="9"/>
  <c r="Q329" i="9"/>
  <c r="S329" i="9"/>
  <c r="S330" i="9"/>
  <c r="Y464" i="9"/>
  <c r="Y461" i="9"/>
  <c r="Y460" i="9"/>
  <c r="Y459" i="9"/>
  <c r="Y457" i="9"/>
  <c r="Y456" i="9"/>
  <c r="Y455" i="9"/>
  <c r="Q458" i="9"/>
  <c r="S458" i="9"/>
  <c r="T464" i="9"/>
  <c r="M457" i="9"/>
  <c r="M458" i="9"/>
  <c r="M456" i="9"/>
  <c r="Y451" i="9"/>
  <c r="Y450" i="9"/>
  <c r="Y449" i="9"/>
  <c r="Y448" i="9"/>
  <c r="Y447" i="9"/>
  <c r="Y446" i="9"/>
  <c r="Y445" i="9"/>
  <c r="Q447" i="9"/>
  <c r="S447" i="9"/>
  <c r="E7" i="12"/>
  <c r="D7" i="12"/>
  <c r="M445" i="9"/>
  <c r="N9" i="12"/>
  <c r="M448" i="9"/>
  <c r="G8" i="12"/>
  <c r="I10" i="12"/>
  <c r="K10" i="12"/>
  <c r="H6" i="12"/>
  <c r="H8" i="12"/>
  <c r="Y438" i="9"/>
  <c r="Y442" i="9"/>
  <c r="Y436" i="9"/>
  <c r="Y430" i="9"/>
  <c r="Y441" i="9"/>
  <c r="Y435" i="9"/>
  <c r="Y429" i="9"/>
  <c r="Y433" i="9"/>
  <c r="Y432" i="9"/>
  <c r="Y431" i="9"/>
  <c r="Y428" i="9"/>
  <c r="Y427" i="9"/>
  <c r="Q451" i="9"/>
  <c r="S451" i="9"/>
  <c r="Q450" i="9"/>
  <c r="S450" i="9"/>
  <c r="Q449" i="9"/>
  <c r="S449" i="9"/>
  <c r="Q448" i="9"/>
  <c r="S448" i="9"/>
  <c r="Q446" i="9"/>
  <c r="S446" i="9"/>
  <c r="Q445" i="9"/>
  <c r="S445" i="9"/>
  <c r="N22" i="12"/>
  <c r="M433" i="9"/>
  <c r="M430" i="9"/>
  <c r="T430" i="9"/>
  <c r="Q430" i="9"/>
  <c r="S430" i="9"/>
  <c r="N109" i="12"/>
  <c r="Y419" i="9"/>
  <c r="M402" i="9"/>
  <c r="M454" i="9"/>
  <c r="M401" i="9"/>
  <c r="M453" i="9"/>
  <c r="Y402" i="9"/>
  <c r="Y454" i="9"/>
  <c r="Y401" i="9"/>
  <c r="Y453" i="9"/>
  <c r="Q402" i="9"/>
  <c r="S402" i="9"/>
  <c r="S454" i="9"/>
  <c r="Q401" i="9"/>
  <c r="R401" i="9"/>
  <c r="R453" i="9"/>
  <c r="Y383" i="9"/>
  <c r="Y382" i="9"/>
  <c r="Y381" i="9"/>
  <c r="Y380" i="9"/>
  <c r="Q382" i="9"/>
  <c r="S382" i="9"/>
  <c r="Q381" i="9"/>
  <c r="S381" i="9"/>
  <c r="M380" i="9"/>
  <c r="M138" i="9"/>
  <c r="M332" i="9"/>
  <c r="Y377" i="9"/>
  <c r="Y376" i="9"/>
  <c r="V375" i="9"/>
  <c r="W375" i="9"/>
  <c r="Q96" i="9"/>
  <c r="G54" i="12"/>
  <c r="N15" i="12"/>
  <c r="I16" i="12"/>
  <c r="Y375" i="9"/>
  <c r="M377" i="9"/>
  <c r="M376" i="9"/>
  <c r="W377" i="9"/>
  <c r="W376" i="9"/>
  <c r="Q376" i="9"/>
  <c r="S376" i="9"/>
  <c r="Q377" i="9"/>
  <c r="S377" i="9"/>
  <c r="Q375" i="9"/>
  <c r="S375" i="9"/>
  <c r="Y342" i="9"/>
  <c r="Y340" i="9"/>
  <c r="Y339" i="9"/>
  <c r="Y338" i="9"/>
  <c r="Y347" i="9"/>
  <c r="T337" i="9"/>
  <c r="N19" i="12"/>
  <c r="Y289" i="9"/>
  <c r="Y271" i="9"/>
  <c r="Y272" i="9"/>
  <c r="Y274" i="9"/>
  <c r="Y275" i="9"/>
  <c r="Y237" i="9"/>
  <c r="Y238" i="9"/>
  <c r="Y239" i="9"/>
  <c r="Y235" i="9"/>
  <c r="Y236" i="9"/>
  <c r="Y234" i="9"/>
  <c r="Y240" i="9"/>
  <c r="Y253" i="9"/>
  <c r="Y252" i="9"/>
  <c r="Y251" i="9"/>
  <c r="M253" i="9"/>
  <c r="M252" i="9"/>
  <c r="M251" i="9"/>
  <c r="M240" i="9"/>
  <c r="G97" i="12"/>
  <c r="O97" i="12"/>
  <c r="O95" i="12"/>
  <c r="D96" i="12"/>
  <c r="N95" i="12"/>
  <c r="M235" i="9"/>
  <c r="M236" i="9"/>
  <c r="K93" i="12"/>
  <c r="M234" i="9"/>
  <c r="K92" i="12"/>
  <c r="D92" i="12"/>
  <c r="Y197" i="9"/>
  <c r="Y196" i="9"/>
  <c r="M188" i="9"/>
  <c r="T136" i="9"/>
  <c r="Q137" i="9"/>
  <c r="S137" i="9"/>
  <c r="N89" i="12"/>
  <c r="Q84" i="9"/>
  <c r="R84" i="9"/>
  <c r="D56" i="12"/>
  <c r="M104" i="9"/>
  <c r="N55" i="12"/>
  <c r="I73" i="12"/>
  <c r="G73" i="12"/>
  <c r="F73" i="12"/>
  <c r="F5" i="12"/>
  <c r="H5" i="12"/>
  <c r="J5" i="12"/>
  <c r="I4" i="12"/>
  <c r="I5" i="12"/>
  <c r="G4" i="12"/>
  <c r="G5" i="12"/>
  <c r="Y81" i="9"/>
  <c r="M79" i="9"/>
  <c r="Y69" i="9"/>
  <c r="Y67" i="9"/>
  <c r="Y65" i="9"/>
  <c r="Y63" i="9"/>
  <c r="I21" i="12"/>
  <c r="G21" i="12"/>
  <c r="I106" i="12"/>
  <c r="G106" i="12"/>
  <c r="Y56" i="9"/>
  <c r="Y404" i="9"/>
  <c r="O75" i="12"/>
  <c r="N75" i="12"/>
  <c r="I75" i="12"/>
  <c r="G75" i="12"/>
  <c r="N74" i="12"/>
  <c r="Y55" i="9"/>
  <c r="Y73" i="9"/>
  <c r="Y40" i="9"/>
  <c r="Y38" i="9"/>
  <c r="Y37" i="9"/>
  <c r="Y36" i="9"/>
  <c r="Y24" i="9"/>
  <c r="Y26" i="9"/>
  <c r="Y13" i="9"/>
  <c r="Y32" i="9"/>
  <c r="M32" i="9"/>
  <c r="Y49" i="9"/>
  <c r="Y35" i="9"/>
  <c r="I36" i="12"/>
  <c r="H126" i="12"/>
  <c r="K127" i="12"/>
  <c r="E127" i="12"/>
  <c r="J128" i="12"/>
  <c r="I128" i="12"/>
  <c r="H128" i="12"/>
  <c r="G128" i="12"/>
  <c r="F128" i="12"/>
  <c r="N335" i="9"/>
  <c r="Q453" i="9"/>
  <c r="R333" i="9"/>
  <c r="S334" i="9"/>
  <c r="Q454" i="9"/>
  <c r="R335" i="9"/>
  <c r="R329" i="9"/>
  <c r="N334" i="9"/>
  <c r="R331" i="9"/>
  <c r="F16" i="12"/>
  <c r="F54" i="12"/>
  <c r="R336" i="9"/>
  <c r="Y190" i="9"/>
  <c r="Y276" i="9"/>
  <c r="Y74" i="9"/>
  <c r="Y277" i="9"/>
  <c r="Y140" i="9"/>
  <c r="Y228" i="9"/>
  <c r="Y403" i="9"/>
  <c r="Y191" i="9"/>
  <c r="Y141" i="9"/>
  <c r="Y229" i="9"/>
  <c r="R373" i="9"/>
  <c r="R374" i="9"/>
  <c r="R372" i="9"/>
  <c r="S370" i="9"/>
  <c r="S371" i="9"/>
  <c r="R360" i="9"/>
  <c r="R357" i="9"/>
  <c r="R359" i="9"/>
  <c r="R361" i="9"/>
  <c r="N332" i="9"/>
  <c r="S332" i="9"/>
  <c r="N458" i="9"/>
  <c r="R458" i="9"/>
  <c r="R430" i="9"/>
  <c r="R377" i="9"/>
  <c r="R447" i="9"/>
  <c r="N402" i="9"/>
  <c r="N454" i="9"/>
  <c r="N445" i="9"/>
  <c r="N377" i="9"/>
  <c r="N448" i="9"/>
  <c r="M449" i="9"/>
  <c r="N449" i="9"/>
  <c r="E10" i="12"/>
  <c r="D10" i="12"/>
  <c r="R381" i="9"/>
  <c r="S401" i="9"/>
  <c r="S453" i="9"/>
  <c r="R446" i="9"/>
  <c r="R448" i="9"/>
  <c r="R450" i="9"/>
  <c r="R445" i="9"/>
  <c r="R449" i="9"/>
  <c r="R451" i="9"/>
  <c r="N430" i="9"/>
  <c r="M431" i="9"/>
  <c r="I54" i="12"/>
  <c r="R402" i="9"/>
  <c r="R454" i="9"/>
  <c r="N401" i="9"/>
  <c r="N453" i="9"/>
  <c r="R382" i="9"/>
  <c r="S84" i="9"/>
  <c r="R137" i="9"/>
  <c r="R376" i="9"/>
  <c r="R375" i="9"/>
  <c r="F96" i="12"/>
  <c r="F97" i="12"/>
  <c r="K21" i="12"/>
  <c r="E21" i="12"/>
  <c r="D21" i="12"/>
  <c r="S96" i="9"/>
  <c r="R96" i="9"/>
  <c r="K75" i="12"/>
  <c r="E75" i="12"/>
  <c r="D75" i="12"/>
  <c r="M56" i="9"/>
  <c r="O76" i="12"/>
  <c r="P76" i="12"/>
  <c r="K128" i="12"/>
  <c r="E128" i="12"/>
  <c r="K36" i="12"/>
  <c r="E36" i="12"/>
  <c r="K401" i="9"/>
  <c r="K453" i="9"/>
  <c r="K402" i="9"/>
  <c r="K454" i="9"/>
  <c r="M338" i="9"/>
  <c r="M342" i="9"/>
  <c r="M340" i="9"/>
  <c r="M339" i="9"/>
  <c r="I97" i="12"/>
  <c r="K97" i="12"/>
  <c r="E97" i="12"/>
  <c r="D97" i="12"/>
  <c r="M239" i="9"/>
  <c r="D76" i="12"/>
  <c r="M187" i="9"/>
  <c r="M185" i="9"/>
  <c r="E76" i="12"/>
  <c r="H76" i="12"/>
  <c r="I76" i="12"/>
  <c r="J76" i="12"/>
  <c r="K76" i="12"/>
  <c r="F76" i="12"/>
  <c r="G76" i="12"/>
  <c r="M66" i="9"/>
  <c r="M51" i="9"/>
  <c r="D36" i="12"/>
  <c r="M24" i="9"/>
  <c r="D127" i="12"/>
  <c r="F94" i="12"/>
  <c r="I94" i="12"/>
  <c r="J126" i="12"/>
  <c r="G126" i="12"/>
  <c r="Y9" i="9"/>
  <c r="Q7" i="9"/>
  <c r="H44" i="12"/>
  <c r="G44" i="12"/>
  <c r="F44" i="12"/>
  <c r="F43" i="12"/>
  <c r="J43" i="12"/>
  <c r="J44" i="12"/>
  <c r="H43" i="12"/>
  <c r="G43" i="12"/>
  <c r="K42" i="12"/>
  <c r="I42" i="12"/>
  <c r="I43" i="12"/>
  <c r="I44" i="12"/>
  <c r="N125" i="12"/>
  <c r="M125" i="12"/>
  <c r="F125" i="12"/>
  <c r="G125" i="12"/>
  <c r="H125" i="12"/>
  <c r="J125" i="12"/>
  <c r="I115" i="12"/>
  <c r="I114" i="12"/>
  <c r="I113" i="12"/>
  <c r="I110" i="12"/>
  <c r="J108" i="12"/>
  <c r="H108" i="12"/>
  <c r="G108" i="12"/>
  <c r="F108" i="12"/>
  <c r="I107" i="12"/>
  <c r="I108" i="12"/>
  <c r="E104" i="12"/>
  <c r="E105" i="12"/>
  <c r="D104" i="12"/>
  <c r="D105" i="12"/>
  <c r="I102" i="12"/>
  <c r="N102" i="12"/>
  <c r="M99" i="12"/>
  <c r="F100" i="12"/>
  <c r="F101" i="12"/>
  <c r="I99" i="12"/>
  <c r="I91" i="12"/>
  <c r="I89" i="12"/>
  <c r="J88" i="12"/>
  <c r="H88" i="12"/>
  <c r="G88" i="12"/>
  <c r="F88" i="12"/>
  <c r="I83" i="12"/>
  <c r="I82" i="12"/>
  <c r="J80" i="12"/>
  <c r="H80" i="12"/>
  <c r="G80" i="12"/>
  <c r="F80" i="12"/>
  <c r="I79" i="12"/>
  <c r="I80" i="12"/>
  <c r="I78" i="12"/>
  <c r="N77" i="12"/>
  <c r="I77" i="12"/>
  <c r="I74" i="12"/>
  <c r="I71" i="12"/>
  <c r="J70" i="12"/>
  <c r="H70" i="12"/>
  <c r="G70" i="12"/>
  <c r="F70" i="12"/>
  <c r="I69" i="12"/>
  <c r="I70" i="12"/>
  <c r="I68" i="12"/>
  <c r="O67" i="12"/>
  <c r="I67" i="12"/>
  <c r="I65" i="12"/>
  <c r="I88" i="12"/>
  <c r="J63" i="12"/>
  <c r="H63" i="12"/>
  <c r="G63" i="12"/>
  <c r="F63" i="12"/>
  <c r="I58" i="12"/>
  <c r="I53" i="12"/>
  <c r="I50" i="12"/>
  <c r="I49" i="12"/>
  <c r="G48" i="12"/>
  <c r="J46" i="12"/>
  <c r="J117" i="12"/>
  <c r="H46" i="12"/>
  <c r="H117" i="12"/>
  <c r="G46" i="12"/>
  <c r="G117" i="12"/>
  <c r="F46" i="12"/>
  <c r="I45" i="12"/>
  <c r="G45" i="12"/>
  <c r="I41" i="12"/>
  <c r="E41" i="12"/>
  <c r="D41" i="12"/>
  <c r="J27" i="12"/>
  <c r="H27" i="12"/>
  <c r="G27" i="12"/>
  <c r="F27" i="12"/>
  <c r="I26" i="12"/>
  <c r="K26" i="12"/>
  <c r="E26" i="12"/>
  <c r="D26" i="12"/>
  <c r="D27" i="12"/>
  <c r="M464" i="9"/>
  <c r="F28" i="12"/>
  <c r="G28" i="12"/>
  <c r="H28" i="12"/>
  <c r="J28" i="12"/>
  <c r="I40" i="12"/>
  <c r="N39" i="12"/>
  <c r="I39" i="12"/>
  <c r="I38" i="12"/>
  <c r="I126" i="12"/>
  <c r="N38" i="12"/>
  <c r="I35" i="12"/>
  <c r="K35" i="12"/>
  <c r="E35" i="12"/>
  <c r="D35" i="12"/>
  <c r="I34" i="12"/>
  <c r="K34" i="12"/>
  <c r="E34" i="12"/>
  <c r="I33" i="12"/>
  <c r="I46" i="12"/>
  <c r="I117" i="12"/>
  <c r="I29" i="12"/>
  <c r="I28" i="12"/>
  <c r="I31" i="12"/>
  <c r="I125" i="12"/>
  <c r="J30" i="12"/>
  <c r="H30" i="12"/>
  <c r="G30" i="12"/>
  <c r="F30" i="12"/>
  <c r="I25" i="12"/>
  <c r="I24" i="12"/>
  <c r="I20" i="12"/>
  <c r="I19" i="12"/>
  <c r="K14" i="12"/>
  <c r="Q410" i="9"/>
  <c r="S410" i="9"/>
  <c r="H121" i="12"/>
  <c r="H122" i="12"/>
  <c r="M438" i="9"/>
  <c r="M451" i="9"/>
  <c r="N451" i="9"/>
  <c r="O402" i="9"/>
  <c r="O454" i="9"/>
  <c r="O401" i="9"/>
  <c r="O453" i="9"/>
  <c r="M36" i="9"/>
  <c r="M382" i="9"/>
  <c r="N382" i="9"/>
  <c r="D128" i="12"/>
  <c r="M436" i="9"/>
  <c r="I63" i="12"/>
  <c r="K54" i="12"/>
  <c r="E54" i="12"/>
  <c r="D54" i="12"/>
  <c r="M96" i="9"/>
  <c r="M23" i="9"/>
  <c r="E42" i="12"/>
  <c r="D42" i="12"/>
  <c r="M418" i="9"/>
  <c r="K44" i="12"/>
  <c r="D44" i="12"/>
  <c r="F126" i="12"/>
  <c r="F37" i="12"/>
  <c r="J37" i="12"/>
  <c r="I37" i="12"/>
  <c r="H37" i="12"/>
  <c r="G37" i="12"/>
  <c r="K43" i="12"/>
  <c r="E44" i="12"/>
  <c r="E43" i="12"/>
  <c r="G100" i="12"/>
  <c r="G101" i="12"/>
  <c r="I100" i="12"/>
  <c r="I101" i="12"/>
  <c r="H100" i="12"/>
  <c r="H101" i="12"/>
  <c r="J100" i="12"/>
  <c r="J101" i="12"/>
  <c r="I66" i="12"/>
  <c r="H66" i="12"/>
  <c r="J66" i="12"/>
  <c r="F66" i="12"/>
  <c r="G66" i="12"/>
  <c r="I27" i="12"/>
  <c r="K27" i="12"/>
  <c r="E27" i="12"/>
  <c r="D34" i="12"/>
  <c r="M22" i="9"/>
  <c r="I30" i="12"/>
  <c r="M35" i="9"/>
  <c r="M459" i="9"/>
  <c r="L401" i="9"/>
  <c r="L453" i="9"/>
  <c r="L402" i="9"/>
  <c r="L454" i="9"/>
  <c r="D43" i="12"/>
  <c r="M383" i="9"/>
  <c r="N96" i="9"/>
  <c r="M375" i="9"/>
  <c r="N375" i="9"/>
  <c r="K94" i="12"/>
  <c r="E94" i="12"/>
  <c r="K101" i="12"/>
  <c r="E101" i="12"/>
  <c r="D101" i="12"/>
  <c r="M9" i="9"/>
  <c r="M12" i="9"/>
  <c r="M38" i="9"/>
  <c r="K37" i="12"/>
  <c r="Q442" i="9"/>
  <c r="S442" i="9"/>
  <c r="Q436" i="9"/>
  <c r="Q429" i="9"/>
  <c r="Y420" i="9"/>
  <c r="Q420" i="9"/>
  <c r="Y290" i="9"/>
  <c r="Q289" i="9"/>
  <c r="Y273" i="9"/>
  <c r="Q273" i="9"/>
  <c r="S273" i="9"/>
  <c r="Q238" i="9"/>
  <c r="J150" i="9"/>
  <c r="P150" i="9"/>
  <c r="T150" i="9"/>
  <c r="J219" i="9"/>
  <c r="P219" i="9"/>
  <c r="T219" i="9"/>
  <c r="H219" i="9"/>
  <c r="H150" i="9"/>
  <c r="J90" i="9"/>
  <c r="P90" i="9"/>
  <c r="Q90" i="9"/>
  <c r="R90" i="9"/>
  <c r="S90" i="9"/>
  <c r="T90" i="9"/>
  <c r="U90" i="9"/>
  <c r="V90" i="9"/>
  <c r="W90" i="9"/>
  <c r="H90" i="9"/>
  <c r="Y410" i="9"/>
  <c r="Y90" i="9"/>
  <c r="P298" i="9"/>
  <c r="T298" i="9"/>
  <c r="U298" i="9"/>
  <c r="P245" i="9"/>
  <c r="T245" i="9"/>
  <c r="U245" i="9"/>
  <c r="P160" i="9"/>
  <c r="T160" i="9"/>
  <c r="U160" i="9"/>
  <c r="Q100" i="9"/>
  <c r="M100" i="9"/>
  <c r="Y83" i="9"/>
  <c r="Q83" i="9"/>
  <c r="Y66" i="9"/>
  <c r="Q66" i="9"/>
  <c r="Y51" i="9"/>
  <c r="Q51" i="9"/>
  <c r="J220" i="9"/>
  <c r="P220" i="9"/>
  <c r="Q220" i="9"/>
  <c r="R220" i="9"/>
  <c r="S220" i="9"/>
  <c r="T220" i="9"/>
  <c r="U220" i="9"/>
  <c r="J151" i="9"/>
  <c r="P151" i="9"/>
  <c r="Q151" i="9"/>
  <c r="R151" i="9"/>
  <c r="S151" i="9"/>
  <c r="T151" i="9"/>
  <c r="U151" i="9"/>
  <c r="H220" i="9"/>
  <c r="H151" i="9"/>
  <c r="W122" i="9"/>
  <c r="V122" i="9"/>
  <c r="U122" i="9"/>
  <c r="W121" i="9"/>
  <c r="V121" i="9"/>
  <c r="U121" i="9"/>
  <c r="P122" i="9"/>
  <c r="P121" i="9"/>
  <c r="Y344" i="9"/>
  <c r="Y122" i="9"/>
  <c r="Y343" i="9"/>
  <c r="Y317" i="9"/>
  <c r="U318" i="9"/>
  <c r="V318" i="9"/>
  <c r="W318" i="9"/>
  <c r="U317" i="9"/>
  <c r="V317" i="9"/>
  <c r="W317" i="9"/>
  <c r="H318" i="9"/>
  <c r="H122" i="9"/>
  <c r="H317" i="9"/>
  <c r="H121" i="9"/>
  <c r="Q344" i="9"/>
  <c r="Q343" i="9"/>
  <c r="T343" i="9"/>
  <c r="T317" i="9"/>
  <c r="T344" i="9"/>
  <c r="T122" i="9"/>
  <c r="H320" i="9"/>
  <c r="P394" i="9"/>
  <c r="V394" i="9"/>
  <c r="P263" i="9"/>
  <c r="V263" i="9"/>
  <c r="Y175" i="9"/>
  <c r="Q14" i="9"/>
  <c r="P175" i="9"/>
  <c r="V175" i="9"/>
  <c r="H20" i="12"/>
  <c r="K20" i="12"/>
  <c r="E20" i="12"/>
  <c r="Q175" i="9"/>
  <c r="R14" i="9"/>
  <c r="Q122" i="9"/>
  <c r="R344" i="9"/>
  <c r="R318" i="9"/>
  <c r="S100" i="9"/>
  <c r="S298" i="9"/>
  <c r="R100" i="9"/>
  <c r="S343" i="9"/>
  <c r="S317" i="9"/>
  <c r="R343" i="9"/>
  <c r="R317" i="9"/>
  <c r="M271" i="9"/>
  <c r="M455" i="9"/>
  <c r="S420" i="9"/>
  <c r="R420" i="9"/>
  <c r="S429" i="9"/>
  <c r="R429" i="9"/>
  <c r="M81" i="9"/>
  <c r="M11" i="9"/>
  <c r="M37" i="9"/>
  <c r="S238" i="9"/>
  <c r="R238" i="9"/>
  <c r="S83" i="9"/>
  <c r="S219" i="9"/>
  <c r="R83" i="9"/>
  <c r="M298" i="9"/>
  <c r="N376" i="9"/>
  <c r="M238" i="9"/>
  <c r="N238" i="9"/>
  <c r="D94" i="12"/>
  <c r="S51" i="9"/>
  <c r="R51" i="9"/>
  <c r="S66" i="9"/>
  <c r="R66" i="9"/>
  <c r="M49" i="9"/>
  <c r="M98" i="9"/>
  <c r="K38" i="12"/>
  <c r="S436" i="9"/>
  <c r="Q219" i="9"/>
  <c r="Q150" i="9"/>
  <c r="Q245" i="9"/>
  <c r="Q160" i="9"/>
  <c r="Q298" i="9"/>
  <c r="N100" i="9"/>
  <c r="M160" i="9"/>
  <c r="M245" i="9"/>
  <c r="N66" i="9"/>
  <c r="Q317" i="9"/>
  <c r="Q121" i="9"/>
  <c r="T121" i="9"/>
  <c r="Y121" i="9"/>
  <c r="Q318" i="9"/>
  <c r="S344" i="9"/>
  <c r="Y318" i="9"/>
  <c r="T318" i="9"/>
  <c r="S14" i="9"/>
  <c r="S175" i="9"/>
  <c r="Q263" i="9"/>
  <c r="Y263" i="9"/>
  <c r="Q394" i="9"/>
  <c r="Y394" i="9"/>
  <c r="E120" i="12"/>
  <c r="K133" i="12"/>
  <c r="J133" i="12"/>
  <c r="I133" i="12"/>
  <c r="H133" i="12"/>
  <c r="G133" i="12"/>
  <c r="F133" i="12"/>
  <c r="E132" i="12"/>
  <c r="K131" i="12"/>
  <c r="J131" i="12"/>
  <c r="I131" i="12"/>
  <c r="H131" i="12"/>
  <c r="G131" i="12"/>
  <c r="F131" i="12"/>
  <c r="E130" i="12"/>
  <c r="S121" i="9"/>
  <c r="S245" i="9"/>
  <c r="S160" i="9"/>
  <c r="R245" i="9"/>
  <c r="R298" i="9"/>
  <c r="R160" i="9"/>
  <c r="R263" i="9"/>
  <c r="R394" i="9"/>
  <c r="R175" i="9"/>
  <c r="S150" i="9"/>
  <c r="R150" i="9"/>
  <c r="R219" i="9"/>
  <c r="K376" i="9"/>
  <c r="K377" i="9"/>
  <c r="K375" i="9"/>
  <c r="E38" i="12"/>
  <c r="K126" i="12"/>
  <c r="E126" i="12"/>
  <c r="D126" i="12"/>
  <c r="M442" i="9"/>
  <c r="N442" i="9"/>
  <c r="M429" i="9"/>
  <c r="N429" i="9"/>
  <c r="N436" i="9"/>
  <c r="M83" i="9"/>
  <c r="N51" i="9"/>
  <c r="N298" i="9"/>
  <c r="N245" i="9"/>
  <c r="N160" i="9"/>
  <c r="S263" i="9"/>
  <c r="S122" i="9"/>
  <c r="S318" i="9"/>
  <c r="S394" i="9"/>
  <c r="E133" i="12"/>
  <c r="M343" i="9"/>
  <c r="D130" i="12"/>
  <c r="D131" i="12"/>
  <c r="D132" i="12"/>
  <c r="D133" i="12"/>
  <c r="E131" i="12"/>
  <c r="M344" i="9"/>
  <c r="M420" i="9"/>
  <c r="N420" i="9"/>
  <c r="M410" i="9"/>
  <c r="N410" i="9"/>
  <c r="N90" i="9"/>
  <c r="O375" i="9"/>
  <c r="O377" i="9"/>
  <c r="O376" i="9"/>
  <c r="M14" i="9"/>
  <c r="M175" i="9"/>
  <c r="M290" i="9"/>
  <c r="M273" i="9"/>
  <c r="N273" i="9"/>
  <c r="M237" i="9"/>
  <c r="D38" i="12"/>
  <c r="E37" i="12"/>
  <c r="M122" i="9"/>
  <c r="N344" i="9"/>
  <c r="M318" i="9"/>
  <c r="M121" i="9"/>
  <c r="N343" i="9"/>
  <c r="M317" i="9"/>
  <c r="M219" i="9"/>
  <c r="M150" i="9"/>
  <c r="N83" i="9"/>
  <c r="D123" i="12"/>
  <c r="D124" i="12"/>
  <c r="D120" i="12"/>
  <c r="M90" i="9"/>
  <c r="M394" i="9"/>
  <c r="N14" i="9"/>
  <c r="N394" i="9"/>
  <c r="M409" i="9"/>
  <c r="M419" i="9"/>
  <c r="M428" i="9"/>
  <c r="M435" i="9"/>
  <c r="M441" i="9"/>
  <c r="L376" i="9"/>
  <c r="L377" i="9"/>
  <c r="L375" i="9"/>
  <c r="M263" i="9"/>
  <c r="M84" i="9"/>
  <c r="M151" i="9"/>
  <c r="M289" i="9"/>
  <c r="M272" i="9"/>
  <c r="M82" i="9"/>
  <c r="M99" i="9"/>
  <c r="M13" i="9"/>
  <c r="M65" i="9"/>
  <c r="M50" i="9"/>
  <c r="D37" i="12"/>
  <c r="N318" i="9"/>
  <c r="N122" i="9"/>
  <c r="N121" i="9"/>
  <c r="N317" i="9"/>
  <c r="N150" i="9"/>
  <c r="N219" i="9"/>
  <c r="Y135" i="9"/>
  <c r="Y184" i="9"/>
  <c r="Q183" i="9"/>
  <c r="N84" i="9"/>
  <c r="N151" i="9"/>
  <c r="N263" i="9"/>
  <c r="N175" i="9"/>
  <c r="M220" i="9"/>
  <c r="S183" i="9"/>
  <c r="N183" i="9"/>
  <c r="R183" i="9"/>
  <c r="V398" i="9"/>
  <c r="P398" i="9"/>
  <c r="P267" i="9"/>
  <c r="V267" i="9"/>
  <c r="V179" i="9"/>
  <c r="P179" i="9"/>
  <c r="Q464" i="9"/>
  <c r="S464" i="9"/>
  <c r="Q463" i="9"/>
  <c r="N463" i="9"/>
  <c r="Q462" i="9"/>
  <c r="Q461" i="9"/>
  <c r="Q460" i="9"/>
  <c r="Q459" i="9"/>
  <c r="N459" i="9"/>
  <c r="Q457" i="9"/>
  <c r="N457" i="9"/>
  <c r="Q456" i="9"/>
  <c r="N456" i="9"/>
  <c r="Q455" i="9"/>
  <c r="Q443" i="9"/>
  <c r="Q441" i="9"/>
  <c r="Q440" i="9"/>
  <c r="Q438" i="9"/>
  <c r="Q437" i="9"/>
  <c r="Q435" i="9"/>
  <c r="Q434" i="9"/>
  <c r="Q433" i="9"/>
  <c r="Q432" i="9"/>
  <c r="Q431" i="9"/>
  <c r="Q428" i="9"/>
  <c r="Q427" i="9"/>
  <c r="Q425" i="9"/>
  <c r="Q424" i="9"/>
  <c r="Q423" i="9"/>
  <c r="Q422" i="9"/>
  <c r="Q421" i="9"/>
  <c r="Q419" i="9"/>
  <c r="Q418" i="9"/>
  <c r="Q417" i="9"/>
  <c r="Q416" i="9"/>
  <c r="Q415" i="9"/>
  <c r="Q414" i="9"/>
  <c r="Q413" i="9"/>
  <c r="Q412" i="9"/>
  <c r="Q411" i="9"/>
  <c r="Q409" i="9"/>
  <c r="Q408" i="9"/>
  <c r="Q407" i="9"/>
  <c r="Q406" i="9"/>
  <c r="Q405" i="9"/>
  <c r="Q404" i="9"/>
  <c r="Q403" i="9"/>
  <c r="Q399" i="9"/>
  <c r="Q397" i="9"/>
  <c r="Q396" i="9"/>
  <c r="Q395" i="9"/>
  <c r="Q393" i="9"/>
  <c r="Q392" i="9"/>
  <c r="Q391" i="9"/>
  <c r="Q390" i="9"/>
  <c r="Q389" i="9"/>
  <c r="Q388" i="9"/>
  <c r="Q387" i="9"/>
  <c r="Q386" i="9"/>
  <c r="Q385" i="9"/>
  <c r="Q384" i="9"/>
  <c r="Q383" i="9"/>
  <c r="Q380" i="9"/>
  <c r="Q379" i="9"/>
  <c r="Q378" i="9"/>
  <c r="Q368" i="9"/>
  <c r="Q367" i="9"/>
  <c r="Q366" i="9"/>
  <c r="Q365" i="9"/>
  <c r="Q364" i="9"/>
  <c r="Q363" i="9"/>
  <c r="N363" i="9"/>
  <c r="Q362" i="9"/>
  <c r="Q356" i="9"/>
  <c r="Q355" i="9"/>
  <c r="Q353" i="9"/>
  <c r="Q352" i="9"/>
  <c r="Q351" i="9"/>
  <c r="Q350" i="9"/>
  <c r="Q349" i="9"/>
  <c r="Q348" i="9"/>
  <c r="Q347" i="9"/>
  <c r="Q346" i="9"/>
  <c r="Q345" i="9"/>
  <c r="Q342" i="9"/>
  <c r="Q341" i="9"/>
  <c r="Q340" i="9"/>
  <c r="Q339" i="9"/>
  <c r="Q338" i="9"/>
  <c r="Q337" i="9"/>
  <c r="Q327" i="9"/>
  <c r="Q326" i="9"/>
  <c r="Q325" i="9"/>
  <c r="Q324" i="9"/>
  <c r="Q323" i="9"/>
  <c r="Q322" i="9"/>
  <c r="Q321" i="9"/>
  <c r="Q320" i="9"/>
  <c r="Q319" i="9"/>
  <c r="Q316" i="9"/>
  <c r="Q315" i="9"/>
  <c r="Q314" i="9"/>
  <c r="Q313" i="9"/>
  <c r="Q312" i="9"/>
  <c r="Q311" i="9"/>
  <c r="Q309" i="9"/>
  <c r="Q308" i="9"/>
  <c r="Q307" i="9"/>
  <c r="Q306" i="9"/>
  <c r="Q305" i="9"/>
  <c r="Q304" i="9"/>
  <c r="Q303" i="9"/>
  <c r="Q302" i="9"/>
  <c r="Q301" i="9"/>
  <c r="Q300" i="9"/>
  <c r="Q299" i="9"/>
  <c r="Q297" i="9"/>
  <c r="Q296" i="9"/>
  <c r="Q295" i="9"/>
  <c r="Q294" i="9"/>
  <c r="Q292" i="9"/>
  <c r="Q291" i="9"/>
  <c r="Q290" i="9"/>
  <c r="Q288" i="9"/>
  <c r="Q286" i="9"/>
  <c r="Q285" i="9"/>
  <c r="Q284" i="9"/>
  <c r="Q283" i="9"/>
  <c r="Q282" i="9"/>
  <c r="Q281" i="9"/>
  <c r="Q280" i="9"/>
  <c r="Q279" i="9"/>
  <c r="Q278" i="9"/>
  <c r="Q277" i="9"/>
  <c r="Q276" i="9"/>
  <c r="Q275" i="9"/>
  <c r="Q274" i="9"/>
  <c r="Q272" i="9"/>
  <c r="Q271" i="9"/>
  <c r="Q270" i="9"/>
  <c r="Q268" i="9"/>
  <c r="Q266" i="9"/>
  <c r="Q265" i="9"/>
  <c r="Q264" i="9"/>
  <c r="Q262" i="9"/>
  <c r="Q261" i="9"/>
  <c r="Q260" i="9"/>
  <c r="Q259" i="9"/>
  <c r="Q258" i="9"/>
  <c r="Q257" i="9"/>
  <c r="Q256" i="9"/>
  <c r="Q255" i="9"/>
  <c r="Q254" i="9"/>
  <c r="Q253" i="9"/>
  <c r="Q252" i="9"/>
  <c r="Q251" i="9"/>
  <c r="Q250" i="9"/>
  <c r="Q249" i="9"/>
  <c r="Q248" i="9"/>
  <c r="Q247" i="9"/>
  <c r="Q246" i="9"/>
  <c r="Q244" i="9"/>
  <c r="Q243" i="9"/>
  <c r="Q242" i="9"/>
  <c r="Q241" i="9"/>
  <c r="Q240" i="9"/>
  <c r="Q239" i="9"/>
  <c r="Q237" i="9"/>
  <c r="Q236" i="9"/>
  <c r="Q235" i="9"/>
  <c r="Q234" i="9"/>
  <c r="Q233" i="9"/>
  <c r="Q232" i="9"/>
  <c r="Q231" i="9"/>
  <c r="Q230" i="9"/>
  <c r="Q229" i="9"/>
  <c r="Q228" i="9"/>
  <c r="Q227" i="9"/>
  <c r="Q226" i="9"/>
  <c r="Q225" i="9"/>
  <c r="Q224" i="9"/>
  <c r="Q223" i="9"/>
  <c r="Q222" i="9"/>
  <c r="Q221" i="9"/>
  <c r="Q218" i="9"/>
  <c r="Q217" i="9"/>
  <c r="Q216" i="9"/>
  <c r="Q215" i="9"/>
  <c r="Q213" i="9"/>
  <c r="Q212" i="9"/>
  <c r="Q211" i="9"/>
  <c r="Q210" i="9"/>
  <c r="Q209" i="9"/>
  <c r="Q208" i="9"/>
  <c r="Q207" i="9"/>
  <c r="Q206" i="9"/>
  <c r="Q204" i="9"/>
  <c r="Q203" i="9"/>
  <c r="Q202" i="9"/>
  <c r="Q200" i="9"/>
  <c r="Q199" i="9"/>
  <c r="Q198" i="9"/>
  <c r="Q197" i="9"/>
  <c r="Q196" i="9"/>
  <c r="Q195" i="9"/>
  <c r="Q194" i="9"/>
  <c r="Q193" i="9"/>
  <c r="Q192" i="9"/>
  <c r="Q191" i="9"/>
  <c r="Q190" i="9"/>
  <c r="Q188" i="9"/>
  <c r="Q187" i="9"/>
  <c r="Q186" i="9"/>
  <c r="Q185" i="9"/>
  <c r="Q184" i="9"/>
  <c r="Q182" i="9"/>
  <c r="Q180" i="9"/>
  <c r="Q178" i="9"/>
  <c r="Q177" i="9"/>
  <c r="Q176" i="9"/>
  <c r="Q174" i="9"/>
  <c r="Q173" i="9"/>
  <c r="Q172" i="9"/>
  <c r="Q171" i="9"/>
  <c r="Q170" i="9"/>
  <c r="Q169" i="9"/>
  <c r="Q168" i="9"/>
  <c r="Q167" i="9"/>
  <c r="Q166" i="9"/>
  <c r="Q165" i="9"/>
  <c r="Q164" i="9"/>
  <c r="Q163" i="9"/>
  <c r="Q162" i="9"/>
  <c r="Q161" i="9"/>
  <c r="Q159" i="9"/>
  <c r="Q158" i="9"/>
  <c r="Q157" i="9"/>
  <c r="Q156" i="9"/>
  <c r="Q155" i="9"/>
  <c r="Q154" i="9"/>
  <c r="Q153" i="9"/>
  <c r="Q152" i="9"/>
  <c r="Q149" i="9"/>
  <c r="Q148" i="9"/>
  <c r="Q147" i="9"/>
  <c r="Q146" i="9"/>
  <c r="Q145" i="9"/>
  <c r="Q144" i="9"/>
  <c r="Q143" i="9"/>
  <c r="Q142" i="9"/>
  <c r="Q141" i="9"/>
  <c r="Q140" i="9"/>
  <c r="Q139" i="9"/>
  <c r="Q138" i="9"/>
  <c r="Q136" i="9"/>
  <c r="Q135" i="9"/>
  <c r="Q134" i="9"/>
  <c r="Q133" i="9"/>
  <c r="Q131" i="9"/>
  <c r="Q130" i="9"/>
  <c r="Q129" i="9"/>
  <c r="Q128" i="9"/>
  <c r="Q127" i="9"/>
  <c r="Q126" i="9"/>
  <c r="Q125" i="9"/>
  <c r="Q124" i="9"/>
  <c r="Q123" i="9"/>
  <c r="Q120" i="9"/>
  <c r="Q119" i="9"/>
  <c r="Q118" i="9"/>
  <c r="Q117" i="9"/>
  <c r="Q116" i="9"/>
  <c r="Q115" i="9"/>
  <c r="Q113" i="9"/>
  <c r="Q112" i="9"/>
  <c r="Q111" i="9"/>
  <c r="Q110" i="9"/>
  <c r="Q109" i="9"/>
  <c r="Q108" i="9"/>
  <c r="Q107" i="9"/>
  <c r="Q106" i="9"/>
  <c r="Q105" i="9"/>
  <c r="Q104" i="9"/>
  <c r="Q103" i="9"/>
  <c r="Q102" i="9"/>
  <c r="Q101" i="9"/>
  <c r="Q99" i="9"/>
  <c r="Q98" i="9"/>
  <c r="Q97" i="9"/>
  <c r="Q95" i="9"/>
  <c r="Q94" i="9"/>
  <c r="Q93" i="9"/>
  <c r="Q92" i="9"/>
  <c r="Q91" i="9"/>
  <c r="Q89" i="9"/>
  <c r="Q88" i="9"/>
  <c r="Q87" i="9"/>
  <c r="Q86" i="9"/>
  <c r="Q85" i="9"/>
  <c r="Q82" i="9"/>
  <c r="Q81" i="9"/>
  <c r="Q80" i="9"/>
  <c r="Q79" i="9"/>
  <c r="Q78" i="9"/>
  <c r="Q77" i="9"/>
  <c r="Q76" i="9"/>
  <c r="Q75" i="9"/>
  <c r="Q74" i="9"/>
  <c r="Q73" i="9"/>
  <c r="Q71" i="9"/>
  <c r="Q70" i="9"/>
  <c r="R70" i="9"/>
  <c r="Q69" i="9"/>
  <c r="Q68" i="9"/>
  <c r="Q67" i="9"/>
  <c r="Q65" i="9"/>
  <c r="Q64" i="9"/>
  <c r="Q63" i="9"/>
  <c r="Q62" i="9"/>
  <c r="Q61" i="9"/>
  <c r="Q60" i="9"/>
  <c r="Q59" i="9"/>
  <c r="Q58" i="9"/>
  <c r="Q57" i="9"/>
  <c r="Q56" i="9"/>
  <c r="N220" i="9"/>
  <c r="S198" i="9"/>
  <c r="S457" i="9"/>
  <c r="S199" i="9"/>
  <c r="N56" i="9"/>
  <c r="S56" i="9"/>
  <c r="S200" i="9"/>
  <c r="S196" i="9"/>
  <c r="S197" i="9"/>
  <c r="S290" i="9"/>
  <c r="N290" i="9"/>
  <c r="R71" i="9"/>
  <c r="R59" i="9"/>
  <c r="R63" i="9"/>
  <c r="R68" i="9"/>
  <c r="R81" i="9"/>
  <c r="R87" i="9"/>
  <c r="R101" i="9"/>
  <c r="R105" i="9"/>
  <c r="R128" i="9"/>
  <c r="R133" i="9"/>
  <c r="R138" i="9"/>
  <c r="R184" i="9"/>
  <c r="R188" i="9"/>
  <c r="R197" i="9"/>
  <c r="R226" i="9"/>
  <c r="R234" i="9"/>
  <c r="R239" i="9"/>
  <c r="R252" i="9"/>
  <c r="R271" i="9"/>
  <c r="R289" i="9"/>
  <c r="R304" i="9"/>
  <c r="R323" i="9"/>
  <c r="R327" i="9"/>
  <c r="R338" i="9"/>
  <c r="R342" i="9"/>
  <c r="R348" i="9"/>
  <c r="R352" i="9"/>
  <c r="R363" i="9"/>
  <c r="R367" i="9"/>
  <c r="R378" i="9"/>
  <c r="R384" i="9"/>
  <c r="R412" i="9"/>
  <c r="R416" i="9"/>
  <c r="R421" i="9"/>
  <c r="R425" i="9"/>
  <c r="R431" i="9"/>
  <c r="R435" i="9"/>
  <c r="R441" i="9"/>
  <c r="R456" i="9"/>
  <c r="R461" i="9"/>
  <c r="R464" i="9"/>
  <c r="R62" i="9"/>
  <c r="R80" i="9"/>
  <c r="R104" i="9"/>
  <c r="R127" i="9"/>
  <c r="R136" i="9"/>
  <c r="R187" i="9"/>
  <c r="R196" i="9"/>
  <c r="R225" i="9"/>
  <c r="R288" i="9"/>
  <c r="R341" i="9"/>
  <c r="R356" i="9"/>
  <c r="R383" i="9"/>
  <c r="R415" i="9"/>
  <c r="R102" i="9"/>
  <c r="R129" i="9"/>
  <c r="R185" i="9"/>
  <c r="R198" i="9"/>
  <c r="R227" i="9"/>
  <c r="R235" i="9"/>
  <c r="R240" i="9"/>
  <c r="R253" i="9"/>
  <c r="R272" i="9"/>
  <c r="R291" i="9"/>
  <c r="R305" i="9"/>
  <c r="R324" i="9"/>
  <c r="R339" i="9"/>
  <c r="R345" i="9"/>
  <c r="R349" i="9"/>
  <c r="R353" i="9"/>
  <c r="R364" i="9"/>
  <c r="R368" i="9"/>
  <c r="R379" i="9"/>
  <c r="R413" i="9"/>
  <c r="R417" i="9"/>
  <c r="R422" i="9"/>
  <c r="R427" i="9"/>
  <c r="R432" i="9"/>
  <c r="R437" i="9"/>
  <c r="R443" i="9"/>
  <c r="R457" i="9"/>
  <c r="R462" i="9"/>
  <c r="R58" i="9"/>
  <c r="R67" i="9"/>
  <c r="R86" i="9"/>
  <c r="R99" i="9"/>
  <c r="R131" i="9"/>
  <c r="R200" i="9"/>
  <c r="R237" i="9"/>
  <c r="R251" i="9"/>
  <c r="R270" i="9"/>
  <c r="R275" i="9"/>
  <c r="R326" i="9"/>
  <c r="R337" i="9"/>
  <c r="R347" i="9"/>
  <c r="R351" i="9"/>
  <c r="R362" i="9"/>
  <c r="R366" i="9"/>
  <c r="R411" i="9"/>
  <c r="R419" i="9"/>
  <c r="R424" i="9"/>
  <c r="R434" i="9"/>
  <c r="R440" i="9"/>
  <c r="R455" i="9"/>
  <c r="R460" i="9"/>
  <c r="R56" i="9"/>
  <c r="R60" i="9"/>
  <c r="R64" i="9"/>
  <c r="R69" i="9"/>
  <c r="R82" i="9"/>
  <c r="R88" i="9"/>
  <c r="R97" i="9"/>
  <c r="R106" i="9"/>
  <c r="R134" i="9"/>
  <c r="R139" i="9"/>
  <c r="R57" i="9"/>
  <c r="R61" i="9"/>
  <c r="R65" i="9"/>
  <c r="R79" i="9"/>
  <c r="R85" i="9"/>
  <c r="R98" i="9"/>
  <c r="R103" i="9"/>
  <c r="R107" i="9"/>
  <c r="R130" i="9"/>
  <c r="R135" i="9"/>
  <c r="R182" i="9"/>
  <c r="R186" i="9"/>
  <c r="R199" i="9"/>
  <c r="R236" i="9"/>
  <c r="R274" i="9"/>
  <c r="R292" i="9"/>
  <c r="R306" i="9"/>
  <c r="R325" i="9"/>
  <c r="R340" i="9"/>
  <c r="R346" i="9"/>
  <c r="R350" i="9"/>
  <c r="R355" i="9"/>
  <c r="R365" i="9"/>
  <c r="R380" i="9"/>
  <c r="R409" i="9"/>
  <c r="R414" i="9"/>
  <c r="R418" i="9"/>
  <c r="R423" i="9"/>
  <c r="R428" i="9"/>
  <c r="R433" i="9"/>
  <c r="R438" i="9"/>
  <c r="R459" i="9"/>
  <c r="R463" i="9"/>
  <c r="H398" i="9"/>
  <c r="H267" i="9"/>
  <c r="J398" i="9"/>
  <c r="J267" i="9"/>
  <c r="J179" i="9"/>
  <c r="H179" i="9"/>
  <c r="Q18" i="9"/>
  <c r="R18" i="9"/>
  <c r="S18" i="9"/>
  <c r="S179" i="9"/>
  <c r="Q179" i="9"/>
  <c r="Q398" i="9"/>
  <c r="Q267" i="9"/>
  <c r="Y267" i="9"/>
  <c r="Y398" i="9"/>
  <c r="Y179" i="9"/>
  <c r="W283" i="9"/>
  <c r="W284" i="9"/>
  <c r="W285" i="9"/>
  <c r="W286" i="9"/>
  <c r="W282" i="9"/>
  <c r="Y283" i="9"/>
  <c r="Y284" i="9"/>
  <c r="Y285" i="9"/>
  <c r="Y286" i="9"/>
  <c r="Y282" i="9"/>
  <c r="P283" i="9"/>
  <c r="S283" i="9"/>
  <c r="T283" i="9"/>
  <c r="P284" i="9"/>
  <c r="S284" i="9"/>
  <c r="T284" i="9"/>
  <c r="P285" i="9"/>
  <c r="S285" i="9"/>
  <c r="T285" i="9"/>
  <c r="P286" i="9"/>
  <c r="S286" i="9"/>
  <c r="T286" i="9"/>
  <c r="P282" i="9"/>
  <c r="S282" i="9"/>
  <c r="T282" i="9"/>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201" i="16"/>
  <c r="J202" i="16"/>
  <c r="J203" i="16"/>
  <c r="J204" i="16"/>
  <c r="J205" i="16"/>
  <c r="J206" i="16"/>
  <c r="J207" i="16"/>
  <c r="J208" i="16"/>
  <c r="J209" i="16"/>
  <c r="J210" i="16"/>
  <c r="J211" i="16"/>
  <c r="J212" i="16"/>
  <c r="J213" i="16"/>
  <c r="J214" i="16"/>
  <c r="J215" i="16"/>
  <c r="J216" i="16"/>
  <c r="J217" i="16"/>
  <c r="J218" i="16"/>
  <c r="J219" i="16"/>
  <c r="J220" i="16"/>
  <c r="J221" i="16"/>
  <c r="J222" i="16"/>
  <c r="J223" i="16"/>
  <c r="J224" i="16"/>
  <c r="J115" i="16"/>
  <c r="R286" i="9"/>
  <c r="R284" i="9"/>
  <c r="R282" i="9"/>
  <c r="R285" i="9"/>
  <c r="R283" i="9"/>
  <c r="R179" i="9"/>
  <c r="S398" i="9"/>
  <c r="R267" i="9"/>
  <c r="R398" i="9"/>
  <c r="S267" i="9"/>
  <c r="H373" i="9"/>
  <c r="H360" i="9"/>
  <c r="H332" i="9"/>
  <c r="S138" i="9"/>
  <c r="Y58" i="9"/>
  <c r="Y279" i="9"/>
  <c r="Y193" i="9"/>
  <c r="Y143" i="9"/>
  <c r="Y76" i="9"/>
  <c r="Y406" i="9"/>
  <c r="Y231" i="9"/>
  <c r="U406" i="9"/>
  <c r="T406" i="9"/>
  <c r="P406" i="9"/>
  <c r="R406" i="9"/>
  <c r="U279" i="9"/>
  <c r="T279" i="9"/>
  <c r="P279" i="9"/>
  <c r="R279" i="9"/>
  <c r="U231" i="9"/>
  <c r="T231" i="9"/>
  <c r="P231" i="9"/>
  <c r="R231" i="9"/>
  <c r="U193" i="9"/>
  <c r="T193" i="9"/>
  <c r="P193" i="9"/>
  <c r="R193" i="9"/>
  <c r="U143" i="9"/>
  <c r="T143" i="9"/>
  <c r="P143" i="9"/>
  <c r="R143" i="9"/>
  <c r="U76" i="9"/>
  <c r="P76" i="9"/>
  <c r="R76" i="9"/>
  <c r="T76" i="9"/>
  <c r="M58" i="9"/>
  <c r="N58" i="9"/>
  <c r="R320" i="9"/>
  <c r="P124" i="9"/>
  <c r="R124" i="9"/>
  <c r="Y346" i="9"/>
  <c r="Y124" i="9"/>
  <c r="T345" i="9"/>
  <c r="T346" i="9"/>
  <c r="T320" i="9"/>
  <c r="H124" i="9"/>
  <c r="H123" i="9"/>
  <c r="Y59" i="9"/>
  <c r="Y77" i="9"/>
  <c r="Y407" i="9"/>
  <c r="Y232" i="9"/>
  <c r="Y144" i="9"/>
  <c r="Y280" i="9"/>
  <c r="Y194" i="9"/>
  <c r="M76" i="9"/>
  <c r="N76" i="9"/>
  <c r="D20" i="12"/>
  <c r="M226" i="9"/>
  <c r="S58" i="9"/>
  <c r="S76" i="9"/>
  <c r="M143" i="9"/>
  <c r="N143" i="9"/>
  <c r="M193" i="9"/>
  <c r="N193" i="9"/>
  <c r="M231" i="9"/>
  <c r="N231" i="9"/>
  <c r="M279" i="9"/>
  <c r="N279" i="9"/>
  <c r="M406" i="9"/>
  <c r="N406" i="9"/>
  <c r="Y320" i="9"/>
  <c r="T124" i="9"/>
  <c r="S346" i="9"/>
  <c r="S320" i="9"/>
  <c r="K122" i="12"/>
  <c r="K121" i="12"/>
  <c r="J121" i="12"/>
  <c r="I121" i="12"/>
  <c r="I122" i="12"/>
  <c r="G121" i="12"/>
  <c r="G122" i="12"/>
  <c r="F121" i="12"/>
  <c r="F122" i="12"/>
  <c r="E122" i="12"/>
  <c r="D122" i="12"/>
  <c r="E121" i="12"/>
  <c r="D121" i="12"/>
  <c r="M346" i="9"/>
  <c r="N346" i="9"/>
  <c r="S231" i="9"/>
  <c r="S406" i="9"/>
  <c r="S193" i="9"/>
  <c r="S279" i="9"/>
  <c r="S143" i="9"/>
  <c r="S124" i="9"/>
  <c r="M124" i="9"/>
  <c r="N124" i="9"/>
  <c r="M320" i="9"/>
  <c r="N320" i="9"/>
  <c r="M404" i="9"/>
  <c r="M277" i="9"/>
  <c r="M229" i="9"/>
  <c r="M191" i="9"/>
  <c r="M141" i="9"/>
  <c r="M74" i="9"/>
  <c r="K4" i="12"/>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P91" i="9"/>
  <c r="T91" i="9"/>
  <c r="U91" i="9"/>
  <c r="P92" i="9"/>
  <c r="T92" i="9"/>
  <c r="U92" i="9"/>
  <c r="P93" i="9"/>
  <c r="T93" i="9"/>
  <c r="U93" i="9"/>
  <c r="P94" i="9"/>
  <c r="T94" i="9"/>
  <c r="U94" i="9"/>
  <c r="P95" i="9"/>
  <c r="T95" i="9"/>
  <c r="U95" i="9"/>
  <c r="P89" i="9"/>
  <c r="T89" i="9"/>
  <c r="U89" i="9"/>
  <c r="P109" i="9"/>
  <c r="T109" i="9"/>
  <c r="U109" i="9"/>
  <c r="P110" i="9"/>
  <c r="T110" i="9"/>
  <c r="U110" i="9"/>
  <c r="P108" i="9"/>
  <c r="T108" i="9"/>
  <c r="U108" i="9"/>
  <c r="T312" i="9"/>
  <c r="T313" i="9"/>
  <c r="T314" i="9"/>
  <c r="T315" i="9"/>
  <c r="T316" i="9"/>
  <c r="T319" i="9"/>
  <c r="T321" i="9"/>
  <c r="T322" i="9"/>
  <c r="T116" i="9"/>
  <c r="T117" i="9"/>
  <c r="P118" i="9"/>
  <c r="T118" i="9"/>
  <c r="P119" i="9"/>
  <c r="T119" i="9"/>
  <c r="T120" i="9"/>
  <c r="P123" i="9"/>
  <c r="T123" i="9"/>
  <c r="P125" i="9"/>
  <c r="T125" i="9"/>
  <c r="P126" i="9"/>
  <c r="T126" i="9"/>
  <c r="T115" i="9"/>
  <c r="T311" i="9"/>
  <c r="P157" i="9"/>
  <c r="T157" i="9"/>
  <c r="U157" i="9"/>
  <c r="P158" i="9"/>
  <c r="T158" i="9"/>
  <c r="U158" i="9"/>
  <c r="P159" i="9"/>
  <c r="T159" i="9"/>
  <c r="U159" i="9"/>
  <c r="P161" i="9"/>
  <c r="T161" i="9"/>
  <c r="U161" i="9"/>
  <c r="P162" i="9"/>
  <c r="T162" i="9"/>
  <c r="U162" i="9"/>
  <c r="P163" i="9"/>
  <c r="T163" i="9"/>
  <c r="U163" i="9"/>
  <c r="P164" i="9"/>
  <c r="T164" i="9"/>
  <c r="U164" i="9"/>
  <c r="P165" i="9"/>
  <c r="T165" i="9"/>
  <c r="U165" i="9"/>
  <c r="M156" i="9"/>
  <c r="P156" i="9"/>
  <c r="T156" i="9"/>
  <c r="U156" i="9"/>
  <c r="P295" i="9"/>
  <c r="T295" i="9"/>
  <c r="U295" i="9"/>
  <c r="P296" i="9"/>
  <c r="T296" i="9"/>
  <c r="U296" i="9"/>
  <c r="P297" i="9"/>
  <c r="T297" i="9"/>
  <c r="U297" i="9"/>
  <c r="P299" i="9"/>
  <c r="T299" i="9"/>
  <c r="U299" i="9"/>
  <c r="P300" i="9"/>
  <c r="T300" i="9"/>
  <c r="U300" i="9"/>
  <c r="P301" i="9"/>
  <c r="T301" i="9"/>
  <c r="U301" i="9"/>
  <c r="P302" i="9"/>
  <c r="T302" i="9"/>
  <c r="U302" i="9"/>
  <c r="P303" i="9"/>
  <c r="T303" i="9"/>
  <c r="U303" i="9"/>
  <c r="M294" i="9"/>
  <c r="P294" i="9"/>
  <c r="T294" i="9"/>
  <c r="U294" i="9"/>
  <c r="P242" i="9"/>
  <c r="T242" i="9"/>
  <c r="U242" i="9"/>
  <c r="P243" i="9"/>
  <c r="T243" i="9"/>
  <c r="U243" i="9"/>
  <c r="P244" i="9"/>
  <c r="T244" i="9"/>
  <c r="U244" i="9"/>
  <c r="P246" i="9"/>
  <c r="T246" i="9"/>
  <c r="U246" i="9"/>
  <c r="P247" i="9"/>
  <c r="T247" i="9"/>
  <c r="U247" i="9"/>
  <c r="P248" i="9"/>
  <c r="T248" i="9"/>
  <c r="U248" i="9"/>
  <c r="P249" i="9"/>
  <c r="T249" i="9"/>
  <c r="U249" i="9"/>
  <c r="P250" i="9"/>
  <c r="T250" i="9"/>
  <c r="U250" i="9"/>
  <c r="M241" i="9"/>
  <c r="P241" i="9"/>
  <c r="T241" i="9"/>
  <c r="U241" i="9"/>
  <c r="P216" i="9"/>
  <c r="T216" i="9"/>
  <c r="U216" i="9"/>
  <c r="P217" i="9"/>
  <c r="T217" i="9"/>
  <c r="U217" i="9"/>
  <c r="P218" i="9"/>
  <c r="T218" i="9"/>
  <c r="U218" i="9"/>
  <c r="P221" i="9"/>
  <c r="T221" i="9"/>
  <c r="U221" i="9"/>
  <c r="P222" i="9"/>
  <c r="T222" i="9"/>
  <c r="U222" i="9"/>
  <c r="P223" i="9"/>
  <c r="T223" i="9"/>
  <c r="U223" i="9"/>
  <c r="P224" i="9"/>
  <c r="T224" i="9"/>
  <c r="U224" i="9"/>
  <c r="P155" i="9"/>
  <c r="T155" i="9"/>
  <c r="U155" i="9"/>
  <c r="Y86" i="9"/>
  <c r="P215" i="9"/>
  <c r="T215" i="9"/>
  <c r="U215" i="9"/>
  <c r="P154" i="9"/>
  <c r="T154" i="9"/>
  <c r="U154" i="9"/>
  <c r="U153" i="9"/>
  <c r="T153" i="9"/>
  <c r="P153" i="9"/>
  <c r="U152" i="9"/>
  <c r="T152" i="9"/>
  <c r="P152" i="9"/>
  <c r="U149" i="9"/>
  <c r="T149" i="9"/>
  <c r="P149" i="9"/>
  <c r="U148" i="9"/>
  <c r="T148" i="9"/>
  <c r="P148" i="9"/>
  <c r="U147" i="9"/>
  <c r="T147" i="9"/>
  <c r="P147" i="9"/>
  <c r="P146" i="9"/>
  <c r="T146" i="9"/>
  <c r="U146" i="9"/>
  <c r="P203" i="9"/>
  <c r="T203" i="9"/>
  <c r="U203" i="9"/>
  <c r="P204" i="9"/>
  <c r="T204" i="9"/>
  <c r="U204" i="9"/>
  <c r="P308" i="9"/>
  <c r="T308" i="9"/>
  <c r="U308" i="9"/>
  <c r="P309" i="9"/>
  <c r="T309" i="9"/>
  <c r="U309" i="9"/>
  <c r="P307" i="9"/>
  <c r="T307" i="9"/>
  <c r="U307" i="9"/>
  <c r="P202" i="9"/>
  <c r="T202" i="9"/>
  <c r="U202" i="9"/>
  <c r="P112" i="9"/>
  <c r="T112" i="9"/>
  <c r="U112" i="9"/>
  <c r="P113" i="9"/>
  <c r="T113" i="9"/>
  <c r="U113" i="9"/>
  <c r="P111" i="9"/>
  <c r="T111" i="9"/>
  <c r="U111" i="9"/>
  <c r="V213" i="9"/>
  <c r="V212" i="9"/>
  <c r="V211" i="9"/>
  <c r="V207" i="9"/>
  <c r="T213" i="9"/>
  <c r="T212" i="9"/>
  <c r="T211" i="9"/>
  <c r="T210" i="9"/>
  <c r="T209" i="9"/>
  <c r="T208" i="9"/>
  <c r="T207" i="9"/>
  <c r="P213" i="9"/>
  <c r="P212" i="9"/>
  <c r="P211" i="9"/>
  <c r="P210" i="9"/>
  <c r="P209" i="9"/>
  <c r="P208" i="9"/>
  <c r="P207" i="9"/>
  <c r="U207" i="9"/>
  <c r="U208" i="9"/>
  <c r="U209" i="9"/>
  <c r="U210" i="9"/>
  <c r="U211" i="9"/>
  <c r="U212" i="9"/>
  <c r="U213" i="9"/>
  <c r="P206" i="9"/>
  <c r="T206" i="9"/>
  <c r="U206" i="9"/>
  <c r="Y207" i="9"/>
  <c r="V399" i="9"/>
  <c r="P399" i="9"/>
  <c r="P397" i="9"/>
  <c r="P396" i="9"/>
  <c r="P395" i="9"/>
  <c r="P393" i="9"/>
  <c r="P392" i="9"/>
  <c r="P391" i="9"/>
  <c r="P390" i="9"/>
  <c r="P389" i="9"/>
  <c r="V388" i="9"/>
  <c r="P388" i="9"/>
  <c r="V387" i="9"/>
  <c r="P387" i="9"/>
  <c r="V386" i="9"/>
  <c r="P386" i="9"/>
  <c r="V385" i="9"/>
  <c r="P385" i="9"/>
  <c r="V268" i="9"/>
  <c r="P268" i="9"/>
  <c r="P266" i="9"/>
  <c r="P265" i="9"/>
  <c r="P264" i="9"/>
  <c r="P262" i="9"/>
  <c r="P261" i="9"/>
  <c r="P260" i="9"/>
  <c r="P259" i="9"/>
  <c r="P258" i="9"/>
  <c r="V257" i="9"/>
  <c r="P257" i="9"/>
  <c r="V256" i="9"/>
  <c r="P256" i="9"/>
  <c r="V255" i="9"/>
  <c r="P255" i="9"/>
  <c r="V254" i="9"/>
  <c r="P254" i="9"/>
  <c r="V180" i="9"/>
  <c r="V169" i="9"/>
  <c r="V168" i="9"/>
  <c r="P180" i="9"/>
  <c r="P178" i="9"/>
  <c r="P177" i="9"/>
  <c r="P176" i="9"/>
  <c r="P174" i="9"/>
  <c r="P173" i="9"/>
  <c r="P172" i="9"/>
  <c r="P171" i="9"/>
  <c r="P170" i="9"/>
  <c r="P169" i="9"/>
  <c r="P168" i="9"/>
  <c r="P167" i="9"/>
  <c r="P166" i="9"/>
  <c r="V408" i="9"/>
  <c r="U408" i="9"/>
  <c r="T408" i="9"/>
  <c r="P408" i="9"/>
  <c r="V407" i="9"/>
  <c r="U407" i="9"/>
  <c r="T407" i="9"/>
  <c r="P407" i="9"/>
  <c r="V405" i="9"/>
  <c r="U405" i="9"/>
  <c r="T405" i="9"/>
  <c r="P405" i="9"/>
  <c r="V404" i="9"/>
  <c r="U404" i="9"/>
  <c r="T404" i="9"/>
  <c r="S404" i="9"/>
  <c r="P404" i="9"/>
  <c r="V403" i="9"/>
  <c r="U403" i="9"/>
  <c r="T403" i="9"/>
  <c r="P403" i="9"/>
  <c r="V281" i="9"/>
  <c r="U281" i="9"/>
  <c r="T281" i="9"/>
  <c r="P281" i="9"/>
  <c r="V280" i="9"/>
  <c r="U280" i="9"/>
  <c r="T280" i="9"/>
  <c r="P280" i="9"/>
  <c r="V278" i="9"/>
  <c r="U278" i="9"/>
  <c r="T278" i="9"/>
  <c r="P278" i="9"/>
  <c r="V277" i="9"/>
  <c r="U277" i="9"/>
  <c r="T277" i="9"/>
  <c r="S277" i="9"/>
  <c r="P277" i="9"/>
  <c r="V276" i="9"/>
  <c r="U276" i="9"/>
  <c r="T276" i="9"/>
  <c r="P276" i="9"/>
  <c r="V233" i="9"/>
  <c r="U233" i="9"/>
  <c r="T233" i="9"/>
  <c r="P233" i="9"/>
  <c r="V232" i="9"/>
  <c r="U232" i="9"/>
  <c r="T232" i="9"/>
  <c r="P232" i="9"/>
  <c r="V230" i="9"/>
  <c r="U230" i="9"/>
  <c r="T230" i="9"/>
  <c r="P230" i="9"/>
  <c r="V229" i="9"/>
  <c r="U229" i="9"/>
  <c r="T229" i="9"/>
  <c r="S229" i="9"/>
  <c r="P229" i="9"/>
  <c r="V228" i="9"/>
  <c r="U228" i="9"/>
  <c r="T228" i="9"/>
  <c r="P228" i="9"/>
  <c r="V195" i="9"/>
  <c r="U195" i="9"/>
  <c r="T195" i="9"/>
  <c r="P195" i="9"/>
  <c r="V194" i="9"/>
  <c r="U194" i="9"/>
  <c r="T194" i="9"/>
  <c r="P194" i="9"/>
  <c r="V192" i="9"/>
  <c r="U192" i="9"/>
  <c r="T192" i="9"/>
  <c r="P192" i="9"/>
  <c r="V191" i="9"/>
  <c r="U191" i="9"/>
  <c r="T191" i="9"/>
  <c r="S191" i="9"/>
  <c r="P191" i="9"/>
  <c r="V190" i="9"/>
  <c r="U190" i="9"/>
  <c r="T190" i="9"/>
  <c r="P190" i="9"/>
  <c r="V145" i="9"/>
  <c r="U145" i="9"/>
  <c r="T145" i="9"/>
  <c r="P145" i="9"/>
  <c r="V144" i="9"/>
  <c r="U144" i="9"/>
  <c r="T144" i="9"/>
  <c r="P144" i="9"/>
  <c r="V142" i="9"/>
  <c r="U142" i="9"/>
  <c r="T142" i="9"/>
  <c r="P142" i="9"/>
  <c r="V141" i="9"/>
  <c r="U141" i="9"/>
  <c r="T141" i="9"/>
  <c r="S141" i="9"/>
  <c r="P141" i="9"/>
  <c r="V140" i="9"/>
  <c r="U140" i="9"/>
  <c r="T140" i="9"/>
  <c r="P140" i="9"/>
  <c r="V78" i="9"/>
  <c r="V77" i="9"/>
  <c r="V75" i="9"/>
  <c r="V74" i="9"/>
  <c r="V73" i="9"/>
  <c r="U78" i="9"/>
  <c r="U77" i="9"/>
  <c r="U75" i="9"/>
  <c r="U74" i="9"/>
  <c r="U73" i="9"/>
  <c r="T78" i="9"/>
  <c r="T77" i="9"/>
  <c r="T75" i="9"/>
  <c r="T74" i="9"/>
  <c r="T73" i="9"/>
  <c r="S74" i="9"/>
  <c r="P78" i="9"/>
  <c r="P77" i="9"/>
  <c r="P75" i="9"/>
  <c r="P74" i="9"/>
  <c r="P73" i="9"/>
  <c r="Q35" i="9"/>
  <c r="H11" i="2"/>
  <c r="Y10" i="9"/>
  <c r="Y89" i="9"/>
  <c r="Y262" i="9"/>
  <c r="E4" i="12"/>
  <c r="K5" i="12"/>
  <c r="R228" i="9"/>
  <c r="R176" i="9"/>
  <c r="R255" i="9"/>
  <c r="R386" i="9"/>
  <c r="R393" i="9"/>
  <c r="R224" i="9"/>
  <c r="R218" i="9"/>
  <c r="R247" i="9"/>
  <c r="R297" i="9"/>
  <c r="R158" i="9"/>
  <c r="R230" i="9"/>
  <c r="R232" i="9"/>
  <c r="R233" i="9"/>
  <c r="R276" i="9"/>
  <c r="R277" i="9"/>
  <c r="N277" i="9"/>
  <c r="R168" i="9"/>
  <c r="R172" i="9"/>
  <c r="R177" i="9"/>
  <c r="R261" i="9"/>
  <c r="R266" i="9"/>
  <c r="R399" i="9"/>
  <c r="R206" i="9"/>
  <c r="R207" i="9"/>
  <c r="R211" i="9"/>
  <c r="R111" i="9"/>
  <c r="R307" i="9"/>
  <c r="R203" i="9"/>
  <c r="R147" i="9"/>
  <c r="R153" i="9"/>
  <c r="R215" i="9"/>
  <c r="R155" i="9"/>
  <c r="R221" i="9"/>
  <c r="R248" i="9"/>
  <c r="R243" i="9"/>
  <c r="R294" i="9"/>
  <c r="N294" i="9"/>
  <c r="R303" i="9"/>
  <c r="R299" i="9"/>
  <c r="R164" i="9"/>
  <c r="R159" i="9"/>
  <c r="R311" i="9"/>
  <c r="R126" i="9"/>
  <c r="R123" i="9"/>
  <c r="R119" i="9"/>
  <c r="R117" i="9"/>
  <c r="R322" i="9"/>
  <c r="R319" i="9"/>
  <c r="R315" i="9"/>
  <c r="R313" i="9"/>
  <c r="R110" i="9"/>
  <c r="R94" i="9"/>
  <c r="R77" i="9"/>
  <c r="R194" i="9"/>
  <c r="R229" i="9"/>
  <c r="N229" i="9"/>
  <c r="R167" i="9"/>
  <c r="R256" i="9"/>
  <c r="R268" i="9"/>
  <c r="R387" i="9"/>
  <c r="R390" i="9"/>
  <c r="R392" i="9"/>
  <c r="R309" i="9"/>
  <c r="R146" i="9"/>
  <c r="R163" i="9"/>
  <c r="R78" i="9"/>
  <c r="R74" i="9"/>
  <c r="N74" i="9"/>
  <c r="R140" i="9"/>
  <c r="R141" i="9"/>
  <c r="N141" i="9"/>
  <c r="R278" i="9"/>
  <c r="R280" i="9"/>
  <c r="R281" i="9"/>
  <c r="R403" i="9"/>
  <c r="R404" i="9"/>
  <c r="N404" i="9"/>
  <c r="R169" i="9"/>
  <c r="R173" i="9"/>
  <c r="R178" i="9"/>
  <c r="R260" i="9"/>
  <c r="R265" i="9"/>
  <c r="R397" i="9"/>
  <c r="R208" i="9"/>
  <c r="R212" i="9"/>
  <c r="R202" i="9"/>
  <c r="R204" i="9"/>
  <c r="R152" i="9"/>
  <c r="R154" i="9"/>
  <c r="R222" i="9"/>
  <c r="R216" i="9"/>
  <c r="R249" i="9"/>
  <c r="R244" i="9"/>
  <c r="R300" i="9"/>
  <c r="R295" i="9"/>
  <c r="R156" i="9"/>
  <c r="N156" i="9"/>
  <c r="R165" i="9"/>
  <c r="R161" i="9"/>
  <c r="R108" i="9"/>
  <c r="R95" i="9"/>
  <c r="R91" i="9"/>
  <c r="R192" i="9"/>
  <c r="R195" i="9"/>
  <c r="R171" i="9"/>
  <c r="R254" i="9"/>
  <c r="R257" i="9"/>
  <c r="R258" i="9"/>
  <c r="R262" i="9"/>
  <c r="R385" i="9"/>
  <c r="R388" i="9"/>
  <c r="R389" i="9"/>
  <c r="R391" i="9"/>
  <c r="R395" i="9"/>
  <c r="R210" i="9"/>
  <c r="R113" i="9"/>
  <c r="R148" i="9"/>
  <c r="R242" i="9"/>
  <c r="R302" i="9"/>
  <c r="R109" i="9"/>
  <c r="R93" i="9"/>
  <c r="R73" i="9"/>
  <c r="R75" i="9"/>
  <c r="R142" i="9"/>
  <c r="R144" i="9"/>
  <c r="R145" i="9"/>
  <c r="R190" i="9"/>
  <c r="R191" i="9"/>
  <c r="N191" i="9"/>
  <c r="R405" i="9"/>
  <c r="R407" i="9"/>
  <c r="R408" i="9"/>
  <c r="R166" i="9"/>
  <c r="R170" i="9"/>
  <c r="R174" i="9"/>
  <c r="R180" i="9"/>
  <c r="R259" i="9"/>
  <c r="R264" i="9"/>
  <c r="R396" i="9"/>
  <c r="R209" i="9"/>
  <c r="R213" i="9"/>
  <c r="R112" i="9"/>
  <c r="R308" i="9"/>
  <c r="R149" i="9"/>
  <c r="R223" i="9"/>
  <c r="R217" i="9"/>
  <c r="R241" i="9"/>
  <c r="N241" i="9"/>
  <c r="R250" i="9"/>
  <c r="R246" i="9"/>
  <c r="R301" i="9"/>
  <c r="R296" i="9"/>
  <c r="R162" i="9"/>
  <c r="R157" i="9"/>
  <c r="R115" i="9"/>
  <c r="R125" i="9"/>
  <c r="R120" i="9"/>
  <c r="R118" i="9"/>
  <c r="R116" i="9"/>
  <c r="R321" i="9"/>
  <c r="R316" i="9"/>
  <c r="R314" i="9"/>
  <c r="R312" i="9"/>
  <c r="R89" i="9"/>
  <c r="R92" i="9"/>
  <c r="R35" i="9"/>
  <c r="S86" i="9"/>
  <c r="S224" i="9"/>
  <c r="S35" i="9"/>
  <c r="Y174" i="9"/>
  <c r="Y393" i="9"/>
  <c r="Y389" i="9"/>
  <c r="Y258" i="9"/>
  <c r="Y170" i="9"/>
  <c r="Y390" i="9"/>
  <c r="Y259" i="9"/>
  <c r="Y171" i="9"/>
  <c r="D4" i="12"/>
  <c r="D5" i="12"/>
  <c r="M450" i="9"/>
  <c r="N450" i="9"/>
  <c r="E5" i="12"/>
  <c r="S155" i="9"/>
  <c r="S207" i="9"/>
  <c r="A52" i="9"/>
  <c r="Q15" i="9"/>
  <c r="Q16" i="9"/>
  <c r="Q17" i="9"/>
  <c r="Q19" i="9"/>
  <c r="Q22" i="9"/>
  <c r="Q23" i="9"/>
  <c r="Q24" i="9"/>
  <c r="Q25" i="9"/>
  <c r="Q26" i="9"/>
  <c r="Q27" i="9"/>
  <c r="Q29" i="9"/>
  <c r="Q30" i="9"/>
  <c r="Q31" i="9"/>
  <c r="Q32" i="9"/>
  <c r="Q34" i="9"/>
  <c r="Q36" i="9"/>
  <c r="Q37" i="9"/>
  <c r="Q38" i="9"/>
  <c r="Q39" i="9"/>
  <c r="Q40" i="9"/>
  <c r="Q41" i="9"/>
  <c r="Q43" i="9"/>
  <c r="Q44" i="9"/>
  <c r="Q45" i="9"/>
  <c r="Q46" i="9"/>
  <c r="Q48" i="9"/>
  <c r="Q49" i="9"/>
  <c r="Q50" i="9"/>
  <c r="Q52" i="9"/>
  <c r="Q53" i="9"/>
  <c r="Q55" i="9"/>
  <c r="S184" i="9"/>
  <c r="M292" i="9"/>
  <c r="N292" i="9"/>
  <c r="M437" i="9"/>
  <c r="M443" i="9"/>
  <c r="M88" i="9"/>
  <c r="M225" i="9"/>
  <c r="R55" i="9"/>
  <c r="R44" i="9"/>
  <c r="R34" i="9"/>
  <c r="R24" i="9"/>
  <c r="R53" i="9"/>
  <c r="R43" i="9"/>
  <c r="R38" i="9"/>
  <c r="R32" i="9"/>
  <c r="R27" i="9"/>
  <c r="R23" i="9"/>
  <c r="R16" i="9"/>
  <c r="R49" i="9"/>
  <c r="R52" i="9"/>
  <c r="R41" i="9"/>
  <c r="R37" i="9"/>
  <c r="R31" i="9"/>
  <c r="R26" i="9"/>
  <c r="R22" i="9"/>
  <c r="R15" i="9"/>
  <c r="R39" i="9"/>
  <c r="R29" i="9"/>
  <c r="R17" i="9"/>
  <c r="R48" i="9"/>
  <c r="R46" i="9"/>
  <c r="R50" i="9"/>
  <c r="R45" i="9"/>
  <c r="R40" i="9"/>
  <c r="R36" i="9"/>
  <c r="R30" i="9"/>
  <c r="R25" i="9"/>
  <c r="R19" i="9"/>
  <c r="N35" i="9"/>
  <c r="M389" i="9"/>
  <c r="N389" i="9"/>
  <c r="Y101" i="9"/>
  <c r="Y71" i="9"/>
  <c r="Y62" i="9"/>
  <c r="Y8" i="9"/>
  <c r="Y5" i="9"/>
  <c r="Y61" i="9"/>
  <c r="Y64" i="9"/>
  <c r="K11" i="12"/>
  <c r="K12" i="12"/>
  <c r="E14" i="12"/>
  <c r="D14" i="12"/>
  <c r="K18" i="12"/>
  <c r="E18" i="12"/>
  <c r="D18" i="12"/>
  <c r="K29" i="12"/>
  <c r="K28" i="12"/>
  <c r="K39" i="12"/>
  <c r="E39" i="12"/>
  <c r="K45" i="12"/>
  <c r="E45" i="12"/>
  <c r="D45" i="12"/>
  <c r="K47" i="12"/>
  <c r="E47" i="12"/>
  <c r="D47" i="12"/>
  <c r="K49" i="12"/>
  <c r="E49" i="12"/>
  <c r="D49" i="12"/>
  <c r="E50" i="12"/>
  <c r="D50" i="12"/>
  <c r="K53" i="12"/>
  <c r="K58" i="12"/>
  <c r="E58" i="12"/>
  <c r="D58" i="12"/>
  <c r="K64" i="12"/>
  <c r="K65" i="12"/>
  <c r="E65" i="12"/>
  <c r="D65" i="12"/>
  <c r="K66" i="12"/>
  <c r="K68" i="12"/>
  <c r="E68" i="12"/>
  <c r="D68" i="12"/>
  <c r="K69" i="12"/>
  <c r="E69" i="12"/>
  <c r="K70" i="12"/>
  <c r="K73" i="12"/>
  <c r="E73" i="12"/>
  <c r="D73" i="12"/>
  <c r="K74" i="12"/>
  <c r="E74" i="12"/>
  <c r="K78" i="12"/>
  <c r="E78" i="12"/>
  <c r="D78" i="12"/>
  <c r="K79" i="12"/>
  <c r="K81" i="12"/>
  <c r="K82" i="12"/>
  <c r="E82" i="12"/>
  <c r="D82" i="12"/>
  <c r="M71" i="9"/>
  <c r="K83" i="12"/>
  <c r="E83" i="12"/>
  <c r="D83" i="12"/>
  <c r="K84" i="12"/>
  <c r="K85" i="12"/>
  <c r="K88" i="12"/>
  <c r="E88" i="12"/>
  <c r="D88" i="12"/>
  <c r="K89" i="12"/>
  <c r="E89" i="12"/>
  <c r="D89" i="12"/>
  <c r="M333" i="9"/>
  <c r="N333" i="9"/>
  <c r="K91" i="12"/>
  <c r="E91" i="12"/>
  <c r="D91" i="12"/>
  <c r="K99" i="12"/>
  <c r="K102" i="12"/>
  <c r="E102" i="12"/>
  <c r="D102" i="12"/>
  <c r="K103" i="12"/>
  <c r="K104" i="12"/>
  <c r="K105" i="12"/>
  <c r="K106" i="12"/>
  <c r="E106" i="12"/>
  <c r="D106" i="12"/>
  <c r="M413" i="9"/>
  <c r="M414" i="9"/>
  <c r="K107" i="12"/>
  <c r="E107" i="12"/>
  <c r="K110" i="12"/>
  <c r="K113" i="12"/>
  <c r="E113" i="12"/>
  <c r="D113" i="12"/>
  <c r="K114" i="12"/>
  <c r="E114" i="12"/>
  <c r="D114" i="12"/>
  <c r="K115" i="12"/>
  <c r="E115" i="12"/>
  <c r="D115" i="12"/>
  <c r="I59" i="12"/>
  <c r="Y60" i="9"/>
  <c r="S60" i="9"/>
  <c r="Y57" i="9"/>
  <c r="S57" i="9"/>
  <c r="S55" i="9"/>
  <c r="I48" i="12"/>
  <c r="F48" i="12"/>
  <c r="Y434" i="9"/>
  <c r="S434" i="9"/>
  <c r="Y440" i="9"/>
  <c r="S440" i="9"/>
  <c r="Y34" i="9"/>
  <c r="O87" i="12"/>
  <c r="O86" i="12"/>
  <c r="J11" i="12"/>
  <c r="J12" i="12"/>
  <c r="I11" i="12"/>
  <c r="I12" i="12"/>
  <c r="H11" i="12"/>
  <c r="H12" i="12"/>
  <c r="G11" i="12"/>
  <c r="G12" i="12"/>
  <c r="F11" i="12"/>
  <c r="F12" i="12"/>
  <c r="M135" i="9"/>
  <c r="M329" i="9"/>
  <c r="N329" i="9"/>
  <c r="M336" i="9"/>
  <c r="N336" i="9"/>
  <c r="Y408" i="9"/>
  <c r="Y195" i="9"/>
  <c r="Y233" i="9"/>
  <c r="Y145" i="9"/>
  <c r="Y78" i="9"/>
  <c r="Y281" i="9"/>
  <c r="Y278" i="9"/>
  <c r="Y192" i="9"/>
  <c r="Y75" i="9"/>
  <c r="Y405" i="9"/>
  <c r="Y230" i="9"/>
  <c r="Y142" i="9"/>
  <c r="M70" i="9"/>
  <c r="M432" i="9"/>
  <c r="M227" i="9"/>
  <c r="M139" i="9"/>
  <c r="M198" i="9"/>
  <c r="N198" i="9"/>
  <c r="M341" i="9"/>
  <c r="M361" i="9"/>
  <c r="N361" i="9"/>
  <c r="M133" i="9"/>
  <c r="M355" i="9"/>
  <c r="E110" i="12"/>
  <c r="D110" i="12"/>
  <c r="M381" i="9"/>
  <c r="N381" i="9"/>
  <c r="D107" i="12"/>
  <c r="D108" i="12"/>
  <c r="E108" i="12"/>
  <c r="E99" i="12"/>
  <c r="K100" i="12"/>
  <c r="E79" i="12"/>
  <c r="D79" i="12"/>
  <c r="K80" i="12"/>
  <c r="E80" i="12"/>
  <c r="D80" i="12"/>
  <c r="D74" i="12"/>
  <c r="M57" i="9"/>
  <c r="E53" i="12"/>
  <c r="K63" i="12"/>
  <c r="D69" i="12"/>
  <c r="D70" i="12"/>
  <c r="E70" i="12"/>
  <c r="D64" i="12"/>
  <c r="M461" i="9"/>
  <c r="E29" i="12"/>
  <c r="E28" i="12"/>
  <c r="K30" i="12"/>
  <c r="E59" i="12"/>
  <c r="D59" i="12"/>
  <c r="M416" i="9"/>
  <c r="N416" i="9"/>
  <c r="E48" i="12"/>
  <c r="D39" i="12"/>
  <c r="M184" i="9"/>
  <c r="N184" i="9"/>
  <c r="N438" i="9"/>
  <c r="N252" i="9"/>
  <c r="M258" i="9"/>
  <c r="N258" i="9"/>
  <c r="M170" i="9"/>
  <c r="N170" i="9"/>
  <c r="K59" i="12"/>
  <c r="M207" i="9"/>
  <c r="N207" i="9"/>
  <c r="Y206" i="9"/>
  <c r="Y113" i="9"/>
  <c r="Y204" i="9"/>
  <c r="Y309" i="9"/>
  <c r="Y268" i="9"/>
  <c r="Y212" i="9"/>
  <c r="Y385" i="9"/>
  <c r="Y254" i="9"/>
  <c r="Y166" i="9"/>
  <c r="Y388" i="9"/>
  <c r="Y257" i="9"/>
  <c r="Y169" i="9"/>
  <c r="S233" i="9"/>
  <c r="S195" i="9"/>
  <c r="S78" i="9"/>
  <c r="S408" i="9"/>
  <c r="S281" i="9"/>
  <c r="S145" i="9"/>
  <c r="S405" i="9"/>
  <c r="S230" i="9"/>
  <c r="S192" i="9"/>
  <c r="S75" i="9"/>
  <c r="S278" i="9"/>
  <c r="S142" i="9"/>
  <c r="S73" i="9"/>
  <c r="S276" i="9"/>
  <c r="S140" i="9"/>
  <c r="S403" i="9"/>
  <c r="S228" i="9"/>
  <c r="S190" i="9"/>
  <c r="K48" i="12"/>
  <c r="M26" i="9"/>
  <c r="S59" i="9"/>
  <c r="N443" i="9"/>
  <c r="E86" i="12"/>
  <c r="D86" i="12"/>
  <c r="N225" i="9"/>
  <c r="N437" i="9"/>
  <c r="N88" i="9"/>
  <c r="M284" i="9"/>
  <c r="N284" i="9"/>
  <c r="N135" i="9"/>
  <c r="K336" i="9"/>
  <c r="K334" i="9"/>
  <c r="M421" i="9"/>
  <c r="M411" i="9"/>
  <c r="M291" i="9"/>
  <c r="M275" i="9"/>
  <c r="M137" i="9"/>
  <c r="M347" i="9"/>
  <c r="M85" i="9"/>
  <c r="M199" i="9"/>
  <c r="M40" i="9"/>
  <c r="N40" i="9"/>
  <c r="M67" i="9"/>
  <c r="M30" i="9"/>
  <c r="M27" i="9"/>
  <c r="D48" i="12"/>
  <c r="M55" i="9"/>
  <c r="N464" i="9"/>
  <c r="M17" i="9"/>
  <c r="M16" i="9"/>
  <c r="M15" i="9"/>
  <c r="D99" i="12"/>
  <c r="D100" i="12"/>
  <c r="E100" i="12"/>
  <c r="D53" i="12"/>
  <c r="E63" i="12"/>
  <c r="E11" i="12"/>
  <c r="D29" i="12"/>
  <c r="E30" i="12"/>
  <c r="M364" i="9"/>
  <c r="N364" i="9"/>
  <c r="M370" i="9"/>
  <c r="N370" i="9"/>
  <c r="M357" i="9"/>
  <c r="N357" i="9"/>
  <c r="E87" i="12"/>
  <c r="D87" i="12"/>
  <c r="M223" i="9"/>
  <c r="N223" i="9"/>
  <c r="M154" i="9"/>
  <c r="N154" i="9"/>
  <c r="Y210" i="9"/>
  <c r="S280" i="9"/>
  <c r="S144" i="9"/>
  <c r="S77" i="9"/>
  <c r="S407" i="9"/>
  <c r="S232" i="9"/>
  <c r="S194" i="9"/>
  <c r="K71" i="12"/>
  <c r="E71" i="12"/>
  <c r="D71" i="12"/>
  <c r="K31" i="12"/>
  <c r="K67" i="12"/>
  <c r="E67" i="12"/>
  <c r="K40" i="12"/>
  <c r="E40" i="12"/>
  <c r="K33" i="12"/>
  <c r="O334" i="9"/>
  <c r="O336" i="9"/>
  <c r="N137" i="9"/>
  <c r="M331" i="9"/>
  <c r="N331" i="9"/>
  <c r="M372" i="9"/>
  <c r="N372" i="9"/>
  <c r="M359" i="9"/>
  <c r="N359" i="9"/>
  <c r="M197" i="9"/>
  <c r="M283" i="9"/>
  <c r="N283" i="9"/>
  <c r="M440" i="9"/>
  <c r="N199" i="9"/>
  <c r="M285" i="9"/>
  <c r="N285" i="9"/>
  <c r="M212" i="9"/>
  <c r="N212" i="9"/>
  <c r="D63" i="12"/>
  <c r="M102" i="9"/>
  <c r="M64" i="9"/>
  <c r="M61" i="9"/>
  <c r="E31" i="12"/>
  <c r="E125" i="12"/>
  <c r="D125" i="12"/>
  <c r="M18" i="9"/>
  <c r="K125" i="12"/>
  <c r="D67" i="12"/>
  <c r="D66" i="12"/>
  <c r="E66" i="12"/>
  <c r="E33" i="12"/>
  <c r="K46" i="12"/>
  <c r="K117" i="12"/>
  <c r="D30" i="12"/>
  <c r="D28" i="12"/>
  <c r="E12" i="12"/>
  <c r="D12" i="12"/>
  <c r="M460" i="9"/>
  <c r="N460" i="9"/>
  <c r="D11" i="12"/>
  <c r="K24" i="12"/>
  <c r="E24" i="12"/>
  <c r="D24" i="12"/>
  <c r="M384" i="9"/>
  <c r="Y337" i="9"/>
  <c r="S337" i="9"/>
  <c r="L334" i="9"/>
  <c r="L336" i="9"/>
  <c r="N197" i="9"/>
  <c r="M434" i="9"/>
  <c r="D31" i="12"/>
  <c r="N18" i="9"/>
  <c r="M267" i="9"/>
  <c r="N267" i="9"/>
  <c r="M398" i="9"/>
  <c r="N398" i="9"/>
  <c r="M179" i="9"/>
  <c r="N179" i="9"/>
  <c r="D33" i="12"/>
  <c r="E46" i="12"/>
  <c r="D40" i="12"/>
  <c r="M7" i="9"/>
  <c r="N7" i="9"/>
  <c r="Y311" i="9"/>
  <c r="Y115" i="9"/>
  <c r="S115" i="9"/>
  <c r="S311" i="9"/>
  <c r="Y392" i="9"/>
  <c r="Y261" i="9"/>
  <c r="Y173" i="9"/>
  <c r="M101" i="9"/>
  <c r="N101" i="9"/>
  <c r="S182" i="9"/>
  <c r="K19" i="12"/>
  <c r="E19" i="12"/>
  <c r="D19" i="12"/>
  <c r="M337" i="9"/>
  <c r="Y45" i="9"/>
  <c r="M422" i="9"/>
  <c r="M412" i="9"/>
  <c r="M63" i="9"/>
  <c r="M200" i="9"/>
  <c r="D32" i="12"/>
  <c r="M5" i="9"/>
  <c r="M196" i="9"/>
  <c r="E117" i="12"/>
  <c r="D46" i="12"/>
  <c r="M43" i="9"/>
  <c r="N67" i="9"/>
  <c r="N432" i="9"/>
  <c r="N380" i="9"/>
  <c r="N419" i="9"/>
  <c r="N82" i="9"/>
  <c r="N26" i="9"/>
  <c r="N409" i="9"/>
  <c r="N289" i="9"/>
  <c r="M393" i="9"/>
  <c r="N393" i="9"/>
  <c r="N272" i="9"/>
  <c r="M161" i="9"/>
  <c r="N161" i="9"/>
  <c r="M246" i="9"/>
  <c r="N246" i="9"/>
  <c r="M299" i="9"/>
  <c r="N299" i="9"/>
  <c r="K77" i="12"/>
  <c r="E77" i="12"/>
  <c r="D77" i="12"/>
  <c r="M427" i="9"/>
  <c r="N435" i="9"/>
  <c r="N65" i="9"/>
  <c r="N441" i="9"/>
  <c r="N428" i="9"/>
  <c r="N50" i="9"/>
  <c r="N237" i="9"/>
  <c r="N99" i="9"/>
  <c r="Y462" i="9"/>
  <c r="Y443" i="9"/>
  <c r="Y437" i="9"/>
  <c r="Y425" i="9"/>
  <c r="Y424" i="9"/>
  <c r="Y423" i="9"/>
  <c r="Y422" i="9"/>
  <c r="Y421" i="9"/>
  <c r="Y417" i="9"/>
  <c r="Y416" i="9"/>
  <c r="Y415" i="9"/>
  <c r="Y95" i="9"/>
  <c r="Y414" i="9"/>
  <c r="Y94" i="9"/>
  <c r="Y413" i="9"/>
  <c r="Y93" i="9"/>
  <c r="Y412" i="9"/>
  <c r="Y92" i="9"/>
  <c r="Y411" i="9"/>
  <c r="Y91" i="9"/>
  <c r="Y384" i="9"/>
  <c r="Y379" i="9"/>
  <c r="Y378" i="9"/>
  <c r="Y356" i="9"/>
  <c r="Y355" i="9"/>
  <c r="Y353" i="9"/>
  <c r="Y352" i="9"/>
  <c r="Y351" i="9"/>
  <c r="Y350" i="9"/>
  <c r="Y349" i="9"/>
  <c r="Y348" i="9"/>
  <c r="Y345" i="9"/>
  <c r="Y341" i="9"/>
  <c r="Y327" i="9"/>
  <c r="Y326" i="9"/>
  <c r="Y325" i="9"/>
  <c r="Y324" i="9"/>
  <c r="Y323" i="9"/>
  <c r="Y306" i="9"/>
  <c r="Y110" i="9"/>
  <c r="Y305" i="9"/>
  <c r="Y109" i="9"/>
  <c r="Y304" i="9"/>
  <c r="Y108" i="9"/>
  <c r="Y292" i="9"/>
  <c r="Y291" i="9"/>
  <c r="Y288" i="9"/>
  <c r="Y270" i="9"/>
  <c r="Y399" i="9"/>
  <c r="Y227" i="9"/>
  <c r="Y226" i="9"/>
  <c r="Y225" i="9"/>
  <c r="Y188" i="9"/>
  <c r="Y187" i="9"/>
  <c r="Y186" i="9"/>
  <c r="Y185" i="9"/>
  <c r="Y182" i="9"/>
  <c r="Y134" i="9"/>
  <c r="Y133" i="9"/>
  <c r="Y131" i="9"/>
  <c r="Y130" i="9"/>
  <c r="Y129" i="9"/>
  <c r="Y128" i="9"/>
  <c r="Y127" i="9"/>
  <c r="Y107" i="9"/>
  <c r="Y106" i="9"/>
  <c r="Y105" i="9"/>
  <c r="Y103" i="9"/>
  <c r="Y102" i="9"/>
  <c r="Y87" i="9"/>
  <c r="Y80" i="9"/>
  <c r="Y79" i="9"/>
  <c r="Y70" i="9"/>
  <c r="Y68" i="9"/>
  <c r="Y7" i="9"/>
  <c r="D117" i="12"/>
  <c r="M136" i="9"/>
  <c r="D81" i="12"/>
  <c r="M69" i="9"/>
  <c r="F6" i="12"/>
  <c r="E6" i="12"/>
  <c r="N196" i="9"/>
  <c r="M282" i="9"/>
  <c r="N282" i="9"/>
  <c r="N200" i="9"/>
  <c r="M286" i="9"/>
  <c r="N286" i="9"/>
  <c r="M89" i="9"/>
  <c r="N89" i="9"/>
  <c r="Y313" i="9"/>
  <c r="Y117" i="9"/>
  <c r="Y118" i="9"/>
  <c r="Y314" i="9"/>
  <c r="Y125" i="9"/>
  <c r="Y321" i="9"/>
  <c r="Y119" i="9"/>
  <c r="Y315" i="9"/>
  <c r="Y322" i="9"/>
  <c r="Y126" i="9"/>
  <c r="Y319" i="9"/>
  <c r="Y123" i="9"/>
  <c r="Y312" i="9"/>
  <c r="Y116" i="9"/>
  <c r="Y316" i="9"/>
  <c r="Y120" i="9"/>
  <c r="M262" i="9"/>
  <c r="N262" i="9"/>
  <c r="M174" i="9"/>
  <c r="N174" i="9"/>
  <c r="M218" i="9"/>
  <c r="N218" i="9"/>
  <c r="M149" i="9"/>
  <c r="N149" i="9"/>
  <c r="M244" i="9"/>
  <c r="N244" i="9"/>
  <c r="M297" i="9"/>
  <c r="N297" i="9"/>
  <c r="M159" i="9"/>
  <c r="N159" i="9"/>
  <c r="Y112" i="9"/>
  <c r="Y203" i="9"/>
  <c r="Y308" i="9"/>
  <c r="Y387" i="9"/>
  <c r="Y256" i="9"/>
  <c r="Y168" i="9"/>
  <c r="Y307" i="9"/>
  <c r="Y202" i="9"/>
  <c r="Y111" i="9"/>
  <c r="N49" i="9"/>
  <c r="N337" i="9"/>
  <c r="S327" i="9"/>
  <c r="S326" i="9"/>
  <c r="S325" i="9"/>
  <c r="S324" i="9"/>
  <c r="S306" i="9"/>
  <c r="S110" i="9"/>
  <c r="S305" i="9"/>
  <c r="S109" i="9"/>
  <c r="S304" i="9"/>
  <c r="S108" i="9"/>
  <c r="S188" i="9"/>
  <c r="S187" i="9"/>
  <c r="S186" i="9"/>
  <c r="S185" i="9"/>
  <c r="N136" i="9"/>
  <c r="M330" i="9"/>
  <c r="N330" i="9"/>
  <c r="M371" i="9"/>
  <c r="N371" i="9"/>
  <c r="M358" i="9"/>
  <c r="N358" i="9"/>
  <c r="D6" i="12"/>
  <c r="F8" i="12"/>
  <c r="E8" i="12"/>
  <c r="D8" i="12"/>
  <c r="M447" i="9"/>
  <c r="N447" i="9"/>
  <c r="K200" i="9"/>
  <c r="O200" i="9"/>
  <c r="K196" i="9"/>
  <c r="K198" i="9"/>
  <c r="K199" i="9"/>
  <c r="K197" i="9"/>
  <c r="N36" i="9"/>
  <c r="M392" i="9"/>
  <c r="N392" i="9"/>
  <c r="N38" i="9"/>
  <c r="M115" i="9"/>
  <c r="N115" i="9"/>
  <c r="M311" i="9"/>
  <c r="N311" i="9"/>
  <c r="N37" i="9"/>
  <c r="K25" i="12"/>
  <c r="E25" i="12"/>
  <c r="S139" i="9"/>
  <c r="S133" i="9"/>
  <c r="S131" i="9"/>
  <c r="S130" i="9"/>
  <c r="S129" i="9"/>
  <c r="S128" i="9"/>
  <c r="S127" i="9"/>
  <c r="S105" i="9"/>
  <c r="S104" i="9"/>
  <c r="S103" i="9"/>
  <c r="S102" i="9"/>
  <c r="S101" i="9"/>
  <c r="S99" i="9"/>
  <c r="S98" i="9"/>
  <c r="S97" i="9"/>
  <c r="S88" i="9"/>
  <c r="S223" i="9"/>
  <c r="S87" i="9"/>
  <c r="S222" i="9"/>
  <c r="S85" i="9"/>
  <c r="S221" i="9"/>
  <c r="S82" i="9"/>
  <c r="S218" i="9"/>
  <c r="S81" i="9"/>
  <c r="S217" i="9"/>
  <c r="S80" i="9"/>
  <c r="S216" i="9"/>
  <c r="N79" i="9"/>
  <c r="S79" i="9"/>
  <c r="J42" i="16"/>
  <c r="J41" i="16"/>
  <c r="J40" i="16"/>
  <c r="J39" i="16"/>
  <c r="J38" i="16"/>
  <c r="J37" i="16"/>
  <c r="J36" i="16"/>
  <c r="J35" i="16"/>
  <c r="J34" i="16"/>
  <c r="J33" i="16"/>
  <c r="J32" i="16"/>
  <c r="J31" i="16"/>
  <c r="J30" i="16"/>
  <c r="J29" i="16"/>
  <c r="J28" i="16"/>
  <c r="J27" i="16"/>
  <c r="J26" i="16"/>
  <c r="J25" i="16"/>
  <c r="J24" i="16"/>
  <c r="J23" i="16"/>
  <c r="J22" i="16"/>
  <c r="J21" i="16"/>
  <c r="J20" i="16"/>
  <c r="J19" i="16"/>
  <c r="J18" i="16"/>
  <c r="J17" i="16"/>
  <c r="J16" i="16"/>
  <c r="J15" i="16"/>
  <c r="J14" i="16"/>
  <c r="J13" i="16"/>
  <c r="J12" i="16"/>
  <c r="J11" i="16"/>
  <c r="J10" i="16"/>
  <c r="J9" i="16"/>
  <c r="J8" i="16"/>
  <c r="J7" i="16"/>
  <c r="J6" i="16"/>
  <c r="J5" i="16"/>
  <c r="I5" i="16"/>
  <c r="I6" i="16"/>
  <c r="C5" i="16"/>
  <c r="F7" i="16"/>
  <c r="Y22" i="9"/>
  <c r="M446" i="9"/>
  <c r="N446" i="9"/>
  <c r="K447" i="9"/>
  <c r="O447" i="9"/>
  <c r="K286" i="9"/>
  <c r="O199" i="9"/>
  <c r="K285" i="9"/>
  <c r="K282" i="9"/>
  <c r="O196" i="9"/>
  <c r="K283" i="9"/>
  <c r="O197" i="9"/>
  <c r="K284" i="9"/>
  <c r="O198" i="9"/>
  <c r="M208" i="9"/>
  <c r="N208" i="9"/>
  <c r="M173" i="9"/>
  <c r="N173" i="9"/>
  <c r="M261" i="9"/>
  <c r="N261" i="9"/>
  <c r="M210" i="9"/>
  <c r="N210" i="9"/>
  <c r="S162" i="9"/>
  <c r="S300" i="9"/>
  <c r="S247" i="9"/>
  <c r="S296" i="9"/>
  <c r="S243" i="9"/>
  <c r="S158" i="9"/>
  <c r="S301" i="9"/>
  <c r="S163" i="9"/>
  <c r="S248" i="9"/>
  <c r="S157" i="9"/>
  <c r="S295" i="9"/>
  <c r="S242" i="9"/>
  <c r="S244" i="9"/>
  <c r="S297" i="9"/>
  <c r="S159" i="9"/>
  <c r="S249" i="9"/>
  <c r="S302" i="9"/>
  <c r="S164" i="9"/>
  <c r="S294" i="9"/>
  <c r="S156" i="9"/>
  <c r="S241" i="9"/>
  <c r="S246" i="9"/>
  <c r="S161" i="9"/>
  <c r="S299" i="9"/>
  <c r="S165" i="9"/>
  <c r="S250" i="9"/>
  <c r="S303" i="9"/>
  <c r="S148" i="9"/>
  <c r="S154" i="9"/>
  <c r="S146" i="9"/>
  <c r="S215" i="9"/>
  <c r="S149" i="9"/>
  <c r="M215" i="9"/>
  <c r="N215" i="9"/>
  <c r="M146" i="9"/>
  <c r="N146" i="9"/>
  <c r="S152" i="9"/>
  <c r="S147" i="9"/>
  <c r="S153" i="9"/>
  <c r="M209" i="9"/>
  <c r="N209" i="9"/>
  <c r="I7" i="16"/>
  <c r="G6" i="16"/>
  <c r="S134" i="9"/>
  <c r="S135" i="9"/>
  <c r="S136" i="9"/>
  <c r="M48" i="9"/>
  <c r="N48" i="9"/>
  <c r="M34" i="9"/>
  <c r="N34" i="9"/>
  <c r="N434" i="9"/>
  <c r="K436" i="9"/>
  <c r="O436" i="9"/>
  <c r="N440" i="9"/>
  <c r="K442" i="9"/>
  <c r="O442" i="9"/>
  <c r="F6" i="16"/>
  <c r="D5" i="16"/>
  <c r="G5" i="16"/>
  <c r="A5" i="16"/>
  <c r="F5" i="16"/>
  <c r="D8" i="16"/>
  <c r="C6" i="16"/>
  <c r="D7" i="16"/>
  <c r="F8" i="16"/>
  <c r="D6" i="16"/>
  <c r="K450" i="9"/>
  <c r="O450" i="9"/>
  <c r="K449" i="9"/>
  <c r="O449" i="9"/>
  <c r="K448" i="9"/>
  <c r="O448" i="9"/>
  <c r="K445" i="9"/>
  <c r="O445" i="9"/>
  <c r="K446" i="9"/>
  <c r="O446" i="9"/>
  <c r="K451" i="9"/>
  <c r="O451" i="9"/>
  <c r="M206" i="9"/>
  <c r="N206" i="9"/>
  <c r="I8" i="16"/>
  <c r="G7" i="16"/>
  <c r="F11" i="16"/>
  <c r="D10" i="16"/>
  <c r="D9" i="16"/>
  <c r="D11" i="16"/>
  <c r="F9" i="16"/>
  <c r="C7" i="16"/>
  <c r="A6" i="16"/>
  <c r="F10" i="16"/>
  <c r="L446" i="9"/>
  <c r="L445" i="9"/>
  <c r="L447" i="9"/>
  <c r="L448" i="9"/>
  <c r="L449" i="9"/>
  <c r="L450" i="9"/>
  <c r="L451" i="9"/>
  <c r="I9" i="16"/>
  <c r="G8" i="16"/>
  <c r="F15" i="16"/>
  <c r="D14" i="16"/>
  <c r="F14" i="16"/>
  <c r="A7" i="16"/>
  <c r="D15" i="16"/>
  <c r="F12" i="16"/>
  <c r="C8" i="16"/>
  <c r="D20" i="16"/>
  <c r="F13" i="16"/>
  <c r="D12" i="16"/>
  <c r="D13" i="16"/>
  <c r="I10" i="16"/>
  <c r="G9" i="16"/>
  <c r="F22" i="16"/>
  <c r="D22" i="16"/>
  <c r="F23" i="16"/>
  <c r="D23" i="16"/>
  <c r="F19" i="16"/>
  <c r="C9" i="16"/>
  <c r="A8" i="16"/>
  <c r="D19" i="16"/>
  <c r="F18" i="16"/>
  <c r="F16" i="16"/>
  <c r="F20" i="16"/>
  <c r="F21" i="16"/>
  <c r="D18" i="16"/>
  <c r="F17" i="16"/>
  <c r="D16" i="16"/>
  <c r="D21" i="16"/>
  <c r="D17" i="16"/>
  <c r="I11" i="16"/>
  <c r="G10" i="16"/>
  <c r="D26" i="16"/>
  <c r="F25" i="16"/>
  <c r="F26" i="16"/>
  <c r="D25" i="16"/>
  <c r="F24" i="16"/>
  <c r="C10" i="16"/>
  <c r="C11" i="16"/>
  <c r="A9" i="16"/>
  <c r="D27" i="16"/>
  <c r="F27" i="16"/>
  <c r="D24" i="16"/>
  <c r="A11" i="16"/>
  <c r="C12" i="16"/>
  <c r="F28" i="16"/>
  <c r="F31" i="16"/>
  <c r="F29" i="16"/>
  <c r="F30" i="16"/>
  <c r="I12" i="16"/>
  <c r="G11" i="16"/>
  <c r="A10" i="16"/>
  <c r="C13" i="16"/>
  <c r="A12" i="16"/>
  <c r="I13" i="16"/>
  <c r="G12" i="16"/>
  <c r="A13" i="16"/>
  <c r="C14" i="16"/>
  <c r="I14" i="16"/>
  <c r="G13" i="16"/>
  <c r="D32" i="16"/>
  <c r="D33" i="16"/>
  <c r="F33" i="16"/>
  <c r="F32" i="16"/>
  <c r="A14" i="16"/>
  <c r="C15" i="16"/>
  <c r="I15" i="16"/>
  <c r="G14" i="16"/>
  <c r="F34" i="16"/>
  <c r="D34" i="16"/>
  <c r="D37" i="16"/>
  <c r="F36" i="16"/>
  <c r="D36" i="16"/>
  <c r="F35" i="16"/>
  <c r="D38" i="16"/>
  <c r="F38" i="16"/>
  <c r="D35" i="16"/>
  <c r="F37" i="16"/>
  <c r="A15" i="16"/>
  <c r="C16" i="16"/>
  <c r="F39" i="16"/>
  <c r="D39" i="16"/>
  <c r="I16" i="16"/>
  <c r="G15" i="16"/>
  <c r="F47" i="16"/>
  <c r="D47" i="16"/>
  <c r="D46" i="16"/>
  <c r="D44" i="16"/>
  <c r="F46" i="16"/>
  <c r="F45" i="16"/>
  <c r="D45" i="16"/>
  <c r="F44" i="16"/>
  <c r="F42" i="16"/>
  <c r="D40" i="16"/>
  <c r="F43" i="16"/>
  <c r="D42" i="16"/>
  <c r="F40" i="16"/>
  <c r="D43" i="16"/>
  <c r="F41" i="16"/>
  <c r="D41" i="16"/>
  <c r="A16" i="16"/>
  <c r="C17" i="16"/>
  <c r="I17" i="16"/>
  <c r="G16" i="16"/>
  <c r="F48" i="16"/>
  <c r="D48" i="16"/>
  <c r="A17" i="16"/>
  <c r="C18" i="16"/>
  <c r="I18" i="16"/>
  <c r="G17" i="16"/>
  <c r="F52" i="16"/>
  <c r="D49" i="16"/>
  <c r="F49" i="16"/>
  <c r="D52" i="16"/>
  <c r="F51" i="16"/>
  <c r="D50" i="16"/>
  <c r="D51" i="16"/>
  <c r="F50" i="16"/>
  <c r="C19" i="16"/>
  <c r="A19" i="16"/>
  <c r="A18" i="16"/>
  <c r="I19" i="16"/>
  <c r="G18" i="16"/>
  <c r="F58" i="16"/>
  <c r="D58" i="16"/>
  <c r="D55" i="16"/>
  <c r="F55" i="16"/>
  <c r="D59" i="16"/>
  <c r="F57" i="16"/>
  <c r="D53" i="16"/>
  <c r="F59" i="16"/>
  <c r="F53" i="16"/>
  <c r="D57" i="16"/>
  <c r="F56" i="16"/>
  <c r="D56" i="16"/>
  <c r="F54" i="16"/>
  <c r="D54" i="16"/>
  <c r="I20" i="16"/>
  <c r="G19" i="16"/>
  <c r="F60" i="16"/>
  <c r="D60" i="16"/>
  <c r="D64" i="16"/>
  <c r="F63" i="16"/>
  <c r="D65" i="16"/>
  <c r="D63" i="16"/>
  <c r="F62" i="16"/>
  <c r="F64" i="16"/>
  <c r="F65" i="16"/>
  <c r="D62" i="16"/>
  <c r="F61" i="16"/>
  <c r="D61" i="16"/>
  <c r="I21" i="16"/>
  <c r="G20" i="16"/>
  <c r="F66" i="16"/>
  <c r="D66" i="16"/>
  <c r="I22" i="16"/>
  <c r="G21" i="16"/>
  <c r="F67" i="16"/>
  <c r="D67" i="16"/>
  <c r="G22" i="16"/>
  <c r="I23" i="16"/>
  <c r="N461" i="9"/>
  <c r="O29" i="12"/>
  <c r="Y52" i="9"/>
  <c r="Y53" i="9"/>
  <c r="Y46" i="9"/>
  <c r="Y44" i="9"/>
  <c r="Y43" i="9"/>
  <c r="Y41" i="9"/>
  <c r="Y39" i="9"/>
  <c r="Y31" i="9"/>
  <c r="Y19" i="9"/>
  <c r="Y180" i="9"/>
  <c r="Y30" i="9"/>
  <c r="Y29" i="9"/>
  <c r="Y213" i="9"/>
  <c r="Y208" i="9"/>
  <c r="Y209" i="9"/>
  <c r="Y391" i="9"/>
  <c r="Y172" i="9"/>
  <c r="Y260" i="9"/>
  <c r="Y211" i="9"/>
  <c r="I24" i="16"/>
  <c r="G23" i="16"/>
  <c r="S52" i="9"/>
  <c r="I25" i="16"/>
  <c r="G24" i="16"/>
  <c r="I26" i="16"/>
  <c r="G25" i="16"/>
  <c r="K41" i="12"/>
  <c r="N43" i="9"/>
  <c r="S31" i="9"/>
  <c r="S32" i="9"/>
  <c r="S34" i="9"/>
  <c r="S36" i="9"/>
  <c r="S37" i="9"/>
  <c r="S38" i="9"/>
  <c r="S39" i="9"/>
  <c r="S40" i="9"/>
  <c r="S41" i="9"/>
  <c r="S43" i="9"/>
  <c r="S44" i="9"/>
  <c r="S45" i="9"/>
  <c r="S46" i="9"/>
  <c r="S48" i="9"/>
  <c r="S49" i="9"/>
  <c r="S50" i="9"/>
  <c r="S53" i="9"/>
  <c r="S61" i="9"/>
  <c r="S62" i="9"/>
  <c r="S63" i="9"/>
  <c r="S64" i="9"/>
  <c r="S65" i="9"/>
  <c r="S67" i="9"/>
  <c r="S68" i="9"/>
  <c r="S69" i="9"/>
  <c r="S70" i="9"/>
  <c r="S71" i="9"/>
  <c r="S106" i="9"/>
  <c r="S107" i="9"/>
  <c r="S225" i="9"/>
  <c r="S226" i="9"/>
  <c r="S227" i="9"/>
  <c r="S234" i="9"/>
  <c r="S235" i="9"/>
  <c r="S236" i="9"/>
  <c r="S237" i="9"/>
  <c r="S239" i="9"/>
  <c r="S251" i="9"/>
  <c r="S252" i="9"/>
  <c r="S253" i="9"/>
  <c r="S270" i="9"/>
  <c r="S271" i="9"/>
  <c r="S272" i="9"/>
  <c r="S274" i="9"/>
  <c r="S275" i="9"/>
  <c r="S288" i="9"/>
  <c r="S289" i="9"/>
  <c r="S291" i="9"/>
  <c r="S292" i="9"/>
  <c r="S338" i="9"/>
  <c r="S339" i="9"/>
  <c r="S340" i="9"/>
  <c r="S341" i="9"/>
  <c r="S342" i="9"/>
  <c r="S345" i="9"/>
  <c r="S347" i="9"/>
  <c r="S348" i="9"/>
  <c r="S349" i="9"/>
  <c r="S350" i="9"/>
  <c r="S351" i="9"/>
  <c r="S352" i="9"/>
  <c r="S353" i="9"/>
  <c r="S355" i="9"/>
  <c r="S356" i="9"/>
  <c r="S362" i="9"/>
  <c r="S365" i="9"/>
  <c r="S366" i="9"/>
  <c r="S367" i="9"/>
  <c r="S368" i="9"/>
  <c r="S378" i="9"/>
  <c r="S379" i="9"/>
  <c r="S380" i="9"/>
  <c r="S383" i="9"/>
  <c r="S384" i="9"/>
  <c r="S409" i="9"/>
  <c r="S89" i="9"/>
  <c r="S411" i="9"/>
  <c r="S91" i="9"/>
  <c r="S412" i="9"/>
  <c r="S92" i="9"/>
  <c r="S413" i="9"/>
  <c r="S93" i="9"/>
  <c r="S414" i="9"/>
  <c r="S94" i="9"/>
  <c r="S415" i="9"/>
  <c r="S95" i="9"/>
  <c r="S416" i="9"/>
  <c r="S417" i="9"/>
  <c r="S418" i="9"/>
  <c r="S419" i="9"/>
  <c r="S421" i="9"/>
  <c r="S422" i="9"/>
  <c r="S423" i="9"/>
  <c r="S424" i="9"/>
  <c r="S425" i="9"/>
  <c r="S427" i="9"/>
  <c r="S428" i="9"/>
  <c r="S431" i="9"/>
  <c r="S432" i="9"/>
  <c r="S433" i="9"/>
  <c r="S435" i="9"/>
  <c r="S437" i="9"/>
  <c r="S438" i="9"/>
  <c r="S441" i="9"/>
  <c r="S443" i="9"/>
  <c r="S455" i="9"/>
  <c r="S456" i="9"/>
  <c r="S459" i="9"/>
  <c r="S460" i="9"/>
  <c r="S461" i="9"/>
  <c r="S462" i="9"/>
  <c r="S463" i="9"/>
  <c r="S30" i="9"/>
  <c r="S29" i="9"/>
  <c r="S322" i="9"/>
  <c r="S126" i="9"/>
  <c r="S321" i="9"/>
  <c r="S125" i="9"/>
  <c r="S319" i="9"/>
  <c r="S123" i="9"/>
  <c r="S313" i="9"/>
  <c r="S117" i="9"/>
  <c r="S315" i="9"/>
  <c r="S119" i="9"/>
  <c r="S314" i="9"/>
  <c r="S118" i="9"/>
  <c r="S316" i="9"/>
  <c r="S120" i="9"/>
  <c r="S312" i="9"/>
  <c r="S116" i="9"/>
  <c r="S204" i="9"/>
  <c r="S309" i="9"/>
  <c r="S113" i="9"/>
  <c r="S112" i="9"/>
  <c r="S203" i="9"/>
  <c r="S308" i="9"/>
  <c r="S111" i="9"/>
  <c r="S307" i="9"/>
  <c r="S202" i="9"/>
  <c r="S208" i="9"/>
  <c r="S211" i="9"/>
  <c r="S206" i="9"/>
  <c r="S210" i="9"/>
  <c r="S212" i="9"/>
  <c r="S213" i="9"/>
  <c r="S209" i="9"/>
  <c r="I27" i="16"/>
  <c r="G26" i="16"/>
  <c r="S364" i="9"/>
  <c r="S240" i="9"/>
  <c r="S363" i="9"/>
  <c r="P7" i="2"/>
  <c r="H19" i="2"/>
  <c r="I28" i="16"/>
  <c r="I29" i="16"/>
  <c r="G27" i="16"/>
  <c r="M10" i="9"/>
  <c r="M390" i="9"/>
  <c r="N390" i="9"/>
  <c r="M259" i="9"/>
  <c r="N259" i="9"/>
  <c r="M171" i="9"/>
  <c r="N171" i="9"/>
  <c r="I30" i="16"/>
  <c r="G29" i="16"/>
  <c r="G28" i="16"/>
  <c r="M304" i="9"/>
  <c r="N304" i="9"/>
  <c r="M306" i="9"/>
  <c r="N306" i="9"/>
  <c r="M305" i="9"/>
  <c r="N305" i="9"/>
  <c r="M107" i="9"/>
  <c r="N107" i="9"/>
  <c r="M106" i="9"/>
  <c r="N106" i="9"/>
  <c r="M326" i="9"/>
  <c r="N326" i="9"/>
  <c r="N384" i="9"/>
  <c r="M327" i="9"/>
  <c r="N327" i="9"/>
  <c r="M323" i="9"/>
  <c r="N323" i="9"/>
  <c r="N32" i="9"/>
  <c r="M182" i="9"/>
  <c r="N182" i="9"/>
  <c r="M462" i="9"/>
  <c r="N462" i="9"/>
  <c r="N55" i="9"/>
  <c r="M59" i="9"/>
  <c r="N59" i="9"/>
  <c r="M109" i="9"/>
  <c r="N109" i="9"/>
  <c r="M110" i="9"/>
  <c r="N110" i="9"/>
  <c r="M108" i="9"/>
  <c r="N108" i="9"/>
  <c r="G30" i="16"/>
  <c r="I31" i="16"/>
  <c r="I32" i="16"/>
  <c r="N64" i="9"/>
  <c r="N61" i="9"/>
  <c r="N57" i="9"/>
  <c r="M60" i="9"/>
  <c r="N60" i="9"/>
  <c r="M39" i="9"/>
  <c r="N39" i="9"/>
  <c r="M52" i="9"/>
  <c r="N52" i="9"/>
  <c r="M324" i="9"/>
  <c r="N324" i="9"/>
  <c r="M325" i="9"/>
  <c r="N325" i="9"/>
  <c r="M374" i="9"/>
  <c r="N374" i="9"/>
  <c r="N71" i="9"/>
  <c r="M127" i="9"/>
  <c r="N127" i="9"/>
  <c r="M349" i="9"/>
  <c r="N349" i="9"/>
  <c r="M105" i="9"/>
  <c r="N105" i="9"/>
  <c r="M345" i="9"/>
  <c r="N345" i="9"/>
  <c r="M87" i="9"/>
  <c r="N87" i="9"/>
  <c r="N69" i="9"/>
  <c r="N81" i="9"/>
  <c r="M128" i="9"/>
  <c r="N128" i="9"/>
  <c r="N347" i="9"/>
  <c r="N104" i="9"/>
  <c r="N85" i="9"/>
  <c r="N16" i="9"/>
  <c r="N411" i="9"/>
  <c r="N15" i="9"/>
  <c r="M80" i="9"/>
  <c r="N80" i="9"/>
  <c r="N98" i="9"/>
  <c r="N188" i="9"/>
  <c r="M368" i="9"/>
  <c r="N368" i="9"/>
  <c r="M351" i="9"/>
  <c r="N351" i="9"/>
  <c r="M129" i="9"/>
  <c r="N129" i="9"/>
  <c r="N102" i="9"/>
  <c r="M103" i="9"/>
  <c r="N103" i="9"/>
  <c r="M134" i="9"/>
  <c r="M366" i="9"/>
  <c r="N366" i="9"/>
  <c r="M186" i="9"/>
  <c r="N186" i="9"/>
  <c r="M348" i="9"/>
  <c r="N348" i="9"/>
  <c r="M97" i="9"/>
  <c r="N97" i="9"/>
  <c r="N133" i="9"/>
  <c r="N355" i="9"/>
  <c r="N70" i="9"/>
  <c r="N455" i="9"/>
  <c r="M362" i="9"/>
  <c r="N362" i="9"/>
  <c r="M353" i="9"/>
  <c r="N353" i="9"/>
  <c r="M131" i="9"/>
  <c r="N131" i="9"/>
  <c r="M352" i="9"/>
  <c r="N352" i="9"/>
  <c r="M130" i="9"/>
  <c r="N130" i="9"/>
  <c r="K106" i="9"/>
  <c r="O106" i="9"/>
  <c r="K107" i="9"/>
  <c r="N234" i="9"/>
  <c r="N235" i="9"/>
  <c r="N239" i="9"/>
  <c r="M53" i="9"/>
  <c r="N53" i="9"/>
  <c r="M378" i="9"/>
  <c r="N378" i="9"/>
  <c r="N414" i="9"/>
  <c r="M423" i="9"/>
  <c r="N341" i="9"/>
  <c r="N413" i="9"/>
  <c r="M62" i="9"/>
  <c r="N62" i="9"/>
  <c r="M274" i="9"/>
  <c r="N274" i="9"/>
  <c r="N418" i="9"/>
  <c r="M425" i="9"/>
  <c r="N425" i="9"/>
  <c r="M415" i="9"/>
  <c r="N415" i="9"/>
  <c r="M379" i="9"/>
  <c r="N379" i="9"/>
  <c r="N275" i="9"/>
  <c r="N421" i="9"/>
  <c r="N291" i="9"/>
  <c r="N30" i="9"/>
  <c r="N17" i="9"/>
  <c r="N27" i="9"/>
  <c r="N227" i="9"/>
  <c r="N383" i="9"/>
  <c r="N236" i="9"/>
  <c r="N271" i="9"/>
  <c r="N427" i="9"/>
  <c r="N251" i="9"/>
  <c r="M350" i="9"/>
  <c r="N350" i="9"/>
  <c r="N431" i="9"/>
  <c r="M417" i="9"/>
  <c r="N417" i="9"/>
  <c r="M270" i="9"/>
  <c r="N270" i="9"/>
  <c r="M288" i="9"/>
  <c r="N288" i="9"/>
  <c r="M46" i="9"/>
  <c r="N46" i="9"/>
  <c r="M44" i="9"/>
  <c r="N44" i="9"/>
  <c r="M29" i="9"/>
  <c r="N29" i="9"/>
  <c r="N240" i="9"/>
  <c r="N253" i="9"/>
  <c r="N433" i="9"/>
  <c r="Y27" i="9"/>
  <c r="N23" i="9"/>
  <c r="N22" i="9"/>
  <c r="Y23" i="9"/>
  <c r="Y6" i="9"/>
  <c r="Y17" i="9"/>
  <c r="Y16" i="9"/>
  <c r="Y15" i="9"/>
  <c r="S22" i="9"/>
  <c r="S23" i="9"/>
  <c r="S24" i="9"/>
  <c r="S25" i="9"/>
  <c r="S26" i="9"/>
  <c r="S27" i="9"/>
  <c r="Q5" i="9"/>
  <c r="X8" i="2"/>
  <c r="X7" i="2"/>
  <c r="K458" i="9"/>
  <c r="O458" i="9"/>
  <c r="K463" i="9"/>
  <c r="N134" i="9"/>
  <c r="K127" i="9"/>
  <c r="M356" i="9"/>
  <c r="N356" i="9"/>
  <c r="K355" i="9"/>
  <c r="O355" i="9"/>
  <c r="K459" i="9"/>
  <c r="O459" i="9"/>
  <c r="K460" i="9"/>
  <c r="O460" i="9"/>
  <c r="K456" i="9"/>
  <c r="O456" i="9"/>
  <c r="K457" i="9"/>
  <c r="O457" i="9"/>
  <c r="K464" i="9"/>
  <c r="K461" i="9"/>
  <c r="K462" i="9"/>
  <c r="O462" i="9"/>
  <c r="K430" i="9"/>
  <c r="O430" i="9"/>
  <c r="L430" i="9"/>
  <c r="N423" i="9"/>
  <c r="M424" i="9"/>
  <c r="N424" i="9"/>
  <c r="K382" i="9"/>
  <c r="O382" i="9"/>
  <c r="K381" i="9"/>
  <c r="O381" i="9"/>
  <c r="N139" i="9"/>
  <c r="N24" i="9"/>
  <c r="M25" i="9"/>
  <c r="N25" i="9"/>
  <c r="I33" i="16"/>
  <c r="G32" i="16"/>
  <c r="K290" i="9"/>
  <c r="O290" i="9"/>
  <c r="K429" i="9"/>
  <c r="O429" i="9"/>
  <c r="L429" i="9"/>
  <c r="K273" i="9"/>
  <c r="O273" i="9"/>
  <c r="K238" i="9"/>
  <c r="O238" i="9"/>
  <c r="K51" i="9"/>
  <c r="M222" i="9"/>
  <c r="N222" i="9"/>
  <c r="M408" i="9"/>
  <c r="N408" i="9"/>
  <c r="M407" i="9"/>
  <c r="N407" i="9"/>
  <c r="M216" i="9"/>
  <c r="N216" i="9"/>
  <c r="M221" i="9"/>
  <c r="N221" i="9"/>
  <c r="M217" i="9"/>
  <c r="N217" i="9"/>
  <c r="R5" i="9"/>
  <c r="M265" i="9"/>
  <c r="N265" i="9"/>
  <c r="M396" i="9"/>
  <c r="N396" i="9"/>
  <c r="M177" i="9"/>
  <c r="N177" i="9"/>
  <c r="M266" i="9"/>
  <c r="N266" i="9"/>
  <c r="M397" i="9"/>
  <c r="N397" i="9"/>
  <c r="M178" i="9"/>
  <c r="N178" i="9"/>
  <c r="M276" i="9"/>
  <c r="N276" i="9"/>
  <c r="M140" i="9"/>
  <c r="N140" i="9"/>
  <c r="M190" i="9"/>
  <c r="N190" i="9"/>
  <c r="M403" i="9"/>
  <c r="N403" i="9"/>
  <c r="M228" i="9"/>
  <c r="N228" i="9"/>
  <c r="M73" i="9"/>
  <c r="N73" i="9"/>
  <c r="M176" i="9"/>
  <c r="N176" i="9"/>
  <c r="M264" i="9"/>
  <c r="N264" i="9"/>
  <c r="M395" i="9"/>
  <c r="N395" i="9"/>
  <c r="M405" i="9"/>
  <c r="N405" i="9"/>
  <c r="M142" i="9"/>
  <c r="N142" i="9"/>
  <c r="M192" i="9"/>
  <c r="N192" i="9"/>
  <c r="M230" i="9"/>
  <c r="N230" i="9"/>
  <c r="M278" i="9"/>
  <c r="N278" i="9"/>
  <c r="M75" i="9"/>
  <c r="N75" i="9"/>
  <c r="M281" i="9"/>
  <c r="N281" i="9"/>
  <c r="M195" i="9"/>
  <c r="N195" i="9"/>
  <c r="M233" i="9"/>
  <c r="N233" i="9"/>
  <c r="M145" i="9"/>
  <c r="N145" i="9"/>
  <c r="M78" i="9"/>
  <c r="N78" i="9"/>
  <c r="M232" i="9"/>
  <c r="N232" i="9"/>
  <c r="M280" i="9"/>
  <c r="N280" i="9"/>
  <c r="M144" i="9"/>
  <c r="N144" i="9"/>
  <c r="M194" i="9"/>
  <c r="N194" i="9"/>
  <c r="M77" i="9"/>
  <c r="N77" i="9"/>
  <c r="O107" i="9"/>
  <c r="L106" i="9"/>
  <c r="K304" i="9"/>
  <c r="K305" i="9"/>
  <c r="K306" i="9"/>
  <c r="M95" i="9"/>
  <c r="N95" i="9"/>
  <c r="M91" i="9"/>
  <c r="N91" i="9"/>
  <c r="G31" i="16"/>
  <c r="M93" i="9"/>
  <c r="N93" i="9"/>
  <c r="M94" i="9"/>
  <c r="N94" i="9"/>
  <c r="M125" i="9"/>
  <c r="N125" i="9"/>
  <c r="M321" i="9"/>
  <c r="N321" i="9"/>
  <c r="M315" i="9"/>
  <c r="N315" i="9"/>
  <c r="M119" i="9"/>
  <c r="N119" i="9"/>
  <c r="M322" i="9"/>
  <c r="N322" i="9"/>
  <c r="M126" i="9"/>
  <c r="N126" i="9"/>
  <c r="M319" i="9"/>
  <c r="N319" i="9"/>
  <c r="M123" i="9"/>
  <c r="N123" i="9"/>
  <c r="M301" i="9"/>
  <c r="N301" i="9"/>
  <c r="M248" i="9"/>
  <c r="N248" i="9"/>
  <c r="M163" i="9"/>
  <c r="N163" i="9"/>
  <c r="M162" i="9"/>
  <c r="N162" i="9"/>
  <c r="M300" i="9"/>
  <c r="N300" i="9"/>
  <c r="M247" i="9"/>
  <c r="N247" i="9"/>
  <c r="M157" i="9"/>
  <c r="N157" i="9"/>
  <c r="M295" i="9"/>
  <c r="N295" i="9"/>
  <c r="M242" i="9"/>
  <c r="N242" i="9"/>
  <c r="M296" i="9"/>
  <c r="N296" i="9"/>
  <c r="M158" i="9"/>
  <c r="N158" i="9"/>
  <c r="M243" i="9"/>
  <c r="N243" i="9"/>
  <c r="M249" i="9"/>
  <c r="N249" i="9"/>
  <c r="M302" i="9"/>
  <c r="N302" i="9"/>
  <c r="M164" i="9"/>
  <c r="N164" i="9"/>
  <c r="M250" i="9"/>
  <c r="N250" i="9"/>
  <c r="M165" i="9"/>
  <c r="N165" i="9"/>
  <c r="M303" i="9"/>
  <c r="N303" i="9"/>
  <c r="M152" i="9"/>
  <c r="N152" i="9"/>
  <c r="M147" i="9"/>
  <c r="N147" i="9"/>
  <c r="M153" i="9"/>
  <c r="N153" i="9"/>
  <c r="M148" i="9"/>
  <c r="N148" i="9"/>
  <c r="Y386" i="9"/>
  <c r="Y255" i="9"/>
  <c r="Y167" i="9"/>
  <c r="S5" i="9"/>
  <c r="S254" i="9"/>
  <c r="Y396" i="9"/>
  <c r="Y265" i="9"/>
  <c r="Y177" i="9"/>
  <c r="Y395" i="9"/>
  <c r="Y264" i="9"/>
  <c r="Y176" i="9"/>
  <c r="Y397" i="9"/>
  <c r="Y266" i="9"/>
  <c r="Y178" i="9"/>
  <c r="M204" i="9"/>
  <c r="N204" i="9"/>
  <c r="M309" i="9"/>
  <c r="N309" i="9"/>
  <c r="M113" i="9"/>
  <c r="N113" i="9"/>
  <c r="M111" i="9"/>
  <c r="N111" i="9"/>
  <c r="M307" i="9"/>
  <c r="N307" i="9"/>
  <c r="M202" i="9"/>
  <c r="N202" i="9"/>
  <c r="M112" i="9"/>
  <c r="N112" i="9"/>
  <c r="M203" i="9"/>
  <c r="N203" i="9"/>
  <c r="M308" i="9"/>
  <c r="N308" i="9"/>
  <c r="M211" i="9"/>
  <c r="N211" i="9"/>
  <c r="K383" i="9"/>
  <c r="K380" i="9"/>
  <c r="O380" i="9"/>
  <c r="K384" i="9"/>
  <c r="K455" i="9"/>
  <c r="O455" i="9"/>
  <c r="K130" i="9"/>
  <c r="K324" i="9"/>
  <c r="K325" i="9"/>
  <c r="K326" i="9"/>
  <c r="K327" i="9"/>
  <c r="K379" i="9"/>
  <c r="K350" i="9"/>
  <c r="K433" i="9"/>
  <c r="K240" i="9"/>
  <c r="K251" i="9"/>
  <c r="O251" i="9"/>
  <c r="K270" i="9"/>
  <c r="K431" i="9"/>
  <c r="K236" i="9"/>
  <c r="O236" i="9"/>
  <c r="K275" i="9"/>
  <c r="K349" i="9"/>
  <c r="K49" i="9"/>
  <c r="O49" i="9"/>
  <c r="K48" i="9"/>
  <c r="K50" i="9"/>
  <c r="K53" i="9"/>
  <c r="K239" i="9"/>
  <c r="K432" i="9"/>
  <c r="K52" i="9"/>
  <c r="O52" i="9"/>
  <c r="K378" i="9"/>
  <c r="O378" i="9"/>
  <c r="K356" i="9"/>
  <c r="O356" i="9"/>
  <c r="K235" i="9"/>
  <c r="O235" i="9"/>
  <c r="K253" i="9"/>
  <c r="K272" i="9"/>
  <c r="K427" i="9"/>
  <c r="K428" i="9"/>
  <c r="K353" i="9"/>
  <c r="K234" i="9"/>
  <c r="O234" i="9"/>
  <c r="K237" i="9"/>
  <c r="O237" i="9"/>
  <c r="K43" i="9"/>
  <c r="O43" i="9"/>
  <c r="K44" i="9"/>
  <c r="K271" i="9"/>
  <c r="K352" i="9"/>
  <c r="K252" i="9"/>
  <c r="K274" i="9"/>
  <c r="K351" i="9"/>
  <c r="V7" i="2"/>
  <c r="Q6" i="9"/>
  <c r="Q8" i="9"/>
  <c r="Q9" i="9"/>
  <c r="N9" i="9"/>
  <c r="Q10" i="9"/>
  <c r="N10" i="9"/>
  <c r="Q11" i="9"/>
  <c r="Q12" i="9"/>
  <c r="N12" i="9"/>
  <c r="Q13" i="9"/>
  <c r="N13" i="9"/>
  <c r="S15" i="9"/>
  <c r="S16" i="9"/>
  <c r="S17" i="9"/>
  <c r="S19" i="9"/>
  <c r="M391" i="9"/>
  <c r="N391" i="9"/>
  <c r="M6" i="9"/>
  <c r="M386" i="9"/>
  <c r="N386" i="9"/>
  <c r="N5" i="9"/>
  <c r="O463" i="9"/>
  <c r="L463" i="9"/>
  <c r="K129" i="9"/>
  <c r="K128" i="9"/>
  <c r="K134" i="9"/>
  <c r="K133" i="9"/>
  <c r="O133" i="9"/>
  <c r="K131" i="9"/>
  <c r="O131" i="9"/>
  <c r="O239" i="9"/>
  <c r="O240" i="9"/>
  <c r="K96" i="9"/>
  <c r="N138" i="9"/>
  <c r="M373" i="9"/>
  <c r="N373" i="9"/>
  <c r="M360" i="9"/>
  <c r="N360" i="9"/>
  <c r="G33" i="16"/>
  <c r="I34" i="16"/>
  <c r="K100" i="9"/>
  <c r="O51" i="9"/>
  <c r="N11" i="9"/>
  <c r="N6" i="9"/>
  <c r="R6" i="9"/>
  <c r="R10" i="9"/>
  <c r="R13" i="9"/>
  <c r="R9" i="9"/>
  <c r="R11" i="9"/>
  <c r="R7" i="9"/>
  <c r="R12" i="9"/>
  <c r="R8" i="9"/>
  <c r="K231" i="9"/>
  <c r="K143" i="9"/>
  <c r="K406" i="9"/>
  <c r="K279" i="9"/>
  <c r="K193" i="9"/>
  <c r="K76" i="9"/>
  <c r="K58" i="9"/>
  <c r="M385" i="9"/>
  <c r="N385" i="9"/>
  <c r="O428" i="9"/>
  <c r="L428" i="9"/>
  <c r="O432" i="9"/>
  <c r="O383" i="9"/>
  <c r="O431" i="9"/>
  <c r="L431" i="9"/>
  <c r="O379" i="9"/>
  <c r="L378" i="9"/>
  <c r="O384" i="9"/>
  <c r="O461" i="9"/>
  <c r="O427" i="9"/>
  <c r="O433" i="9"/>
  <c r="O253" i="9"/>
  <c r="O270" i="9"/>
  <c r="O304" i="9"/>
  <c r="M254" i="9"/>
  <c r="N254" i="9"/>
  <c r="M166" i="9"/>
  <c r="N166" i="9"/>
  <c r="O271" i="9"/>
  <c r="O275" i="9"/>
  <c r="O326" i="9"/>
  <c r="O352" i="9"/>
  <c r="M167" i="9"/>
  <c r="N167" i="9"/>
  <c r="M255" i="9"/>
  <c r="N255" i="9"/>
  <c r="O274" i="9"/>
  <c r="O325" i="9"/>
  <c r="O351" i="9"/>
  <c r="O306" i="9"/>
  <c r="O110" i="9"/>
  <c r="M260" i="9"/>
  <c r="N260" i="9"/>
  <c r="M172" i="9"/>
  <c r="N172" i="9"/>
  <c r="O252" i="9"/>
  <c r="O272" i="9"/>
  <c r="O324" i="9"/>
  <c r="O350" i="9"/>
  <c r="O305" i="9"/>
  <c r="O109" i="9"/>
  <c r="L107" i="9"/>
  <c r="O127" i="9"/>
  <c r="O128" i="9"/>
  <c r="O130" i="9"/>
  <c r="O134" i="9"/>
  <c r="L133" i="9"/>
  <c r="L355" i="9"/>
  <c r="O129" i="9"/>
  <c r="O44" i="9"/>
  <c r="L44" i="9"/>
  <c r="O48" i="9"/>
  <c r="O50" i="9"/>
  <c r="O53" i="9"/>
  <c r="K110" i="9"/>
  <c r="K109" i="9"/>
  <c r="K108" i="9"/>
  <c r="S166" i="9"/>
  <c r="S385" i="9"/>
  <c r="K69" i="9"/>
  <c r="K307" i="9"/>
  <c r="S11" i="9"/>
  <c r="S172" i="9"/>
  <c r="S7" i="9"/>
  <c r="S168" i="9"/>
  <c r="S10" i="9"/>
  <c r="S171" i="9"/>
  <c r="S6" i="9"/>
  <c r="S386" i="9"/>
  <c r="S8" i="9"/>
  <c r="S388" i="9"/>
  <c r="S9" i="9"/>
  <c r="S258" i="9"/>
  <c r="K71" i="9"/>
  <c r="O71" i="9"/>
  <c r="O204" i="9"/>
  <c r="K70" i="9"/>
  <c r="O70" i="9"/>
  <c r="O203" i="9"/>
  <c r="K56" i="9"/>
  <c r="K55" i="9"/>
  <c r="S397" i="9"/>
  <c r="S266" i="9"/>
  <c r="S178" i="9"/>
  <c r="S177" i="9"/>
  <c r="S265" i="9"/>
  <c r="S396" i="9"/>
  <c r="S264" i="9"/>
  <c r="S176" i="9"/>
  <c r="S395" i="9"/>
  <c r="K60" i="9"/>
  <c r="S268" i="9"/>
  <c r="S399" i="9"/>
  <c r="S180" i="9"/>
  <c r="K57" i="9"/>
  <c r="O57" i="9"/>
  <c r="K59" i="9"/>
  <c r="O59" i="9"/>
  <c r="S13" i="9"/>
  <c r="S12" i="9"/>
  <c r="O96" i="9"/>
  <c r="O294" i="9"/>
  <c r="K156" i="9"/>
  <c r="K241" i="9"/>
  <c r="K294" i="9"/>
  <c r="L238" i="9"/>
  <c r="L239" i="9"/>
  <c r="L237" i="9"/>
  <c r="L381" i="9"/>
  <c r="L382" i="9"/>
  <c r="L240" i="9"/>
  <c r="K137" i="9"/>
  <c r="K136" i="9"/>
  <c r="O136" i="9"/>
  <c r="K135" i="9"/>
  <c r="K139" i="9"/>
  <c r="K138" i="9"/>
  <c r="L131" i="9"/>
  <c r="L274" i="9"/>
  <c r="G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L273" i="9"/>
  <c r="K160" i="9"/>
  <c r="K245" i="9"/>
  <c r="K298" i="9"/>
  <c r="O100" i="9"/>
  <c r="O108" i="9"/>
  <c r="L51" i="9"/>
  <c r="L384" i="9"/>
  <c r="O407" i="9"/>
  <c r="O194" i="9"/>
  <c r="O232" i="9"/>
  <c r="O405" i="9"/>
  <c r="O192" i="9"/>
  <c r="O230" i="9"/>
  <c r="O58" i="9"/>
  <c r="S387" i="9"/>
  <c r="O56" i="9"/>
  <c r="L383" i="9"/>
  <c r="L252" i="9"/>
  <c r="L304" i="9"/>
  <c r="L108" i="9"/>
  <c r="L379" i="9"/>
  <c r="L427" i="9"/>
  <c r="L253" i="9"/>
  <c r="L380" i="9"/>
  <c r="L234" i="9"/>
  <c r="L433" i="9"/>
  <c r="L271" i="9"/>
  <c r="L275" i="9"/>
  <c r="O144" i="9"/>
  <c r="O280" i="9"/>
  <c r="O309" i="9"/>
  <c r="O278" i="9"/>
  <c r="O142" i="9"/>
  <c r="L272" i="9"/>
  <c r="L305" i="9"/>
  <c r="L109" i="9"/>
  <c r="L236" i="9"/>
  <c r="L251" i="9"/>
  <c r="L235" i="9"/>
  <c r="L270" i="9"/>
  <c r="L128" i="9"/>
  <c r="O112" i="9"/>
  <c r="O308" i="9"/>
  <c r="L306" i="9"/>
  <c r="L110" i="9"/>
  <c r="L127" i="9"/>
  <c r="L134" i="9"/>
  <c r="L356" i="9"/>
  <c r="L43" i="9"/>
  <c r="L130" i="9"/>
  <c r="O113" i="9"/>
  <c r="L129" i="9"/>
  <c r="L52" i="9"/>
  <c r="O75" i="9"/>
  <c r="O69" i="9"/>
  <c r="L71" i="9"/>
  <c r="O60" i="9"/>
  <c r="L49" i="9"/>
  <c r="L48" i="9"/>
  <c r="O77" i="9"/>
  <c r="O55" i="9"/>
  <c r="L53" i="9"/>
  <c r="L50" i="9"/>
  <c r="K78" i="9"/>
  <c r="K229" i="9"/>
  <c r="K73" i="9"/>
  <c r="K104" i="9"/>
  <c r="K98" i="9"/>
  <c r="K97" i="9"/>
  <c r="K102" i="9"/>
  <c r="K103" i="9"/>
  <c r="K101" i="9"/>
  <c r="K105" i="9"/>
  <c r="K99" i="9"/>
  <c r="S259" i="9"/>
  <c r="S169" i="9"/>
  <c r="S257" i="9"/>
  <c r="K204" i="9"/>
  <c r="K111" i="9"/>
  <c r="K195" i="9"/>
  <c r="S170" i="9"/>
  <c r="S389" i="9"/>
  <c r="K202" i="9"/>
  <c r="S167" i="9"/>
  <c r="S260" i="9"/>
  <c r="S256" i="9"/>
  <c r="S390" i="9"/>
  <c r="S391" i="9"/>
  <c r="K309" i="9"/>
  <c r="S255" i="9"/>
  <c r="K140" i="9"/>
  <c r="K113" i="9"/>
  <c r="K404" i="9"/>
  <c r="K74" i="9"/>
  <c r="K277" i="9"/>
  <c r="K203" i="9"/>
  <c r="K308" i="9"/>
  <c r="K112" i="9"/>
  <c r="K190" i="9"/>
  <c r="K233" i="9"/>
  <c r="K276" i="9"/>
  <c r="K403" i="9"/>
  <c r="K191" i="9"/>
  <c r="K228" i="9"/>
  <c r="K141" i="9"/>
  <c r="K145" i="9"/>
  <c r="K281" i="9"/>
  <c r="K408" i="9"/>
  <c r="S262" i="9"/>
  <c r="S393" i="9"/>
  <c r="S174" i="9"/>
  <c r="S392" i="9"/>
  <c r="S173" i="9"/>
  <c r="S261" i="9"/>
  <c r="K232" i="9"/>
  <c r="K407" i="9"/>
  <c r="K280" i="9"/>
  <c r="K144" i="9"/>
  <c r="K77" i="9"/>
  <c r="K194" i="9"/>
  <c r="K278" i="9"/>
  <c r="K142" i="9"/>
  <c r="K405" i="9"/>
  <c r="K230" i="9"/>
  <c r="K192" i="9"/>
  <c r="K75" i="9"/>
  <c r="O241" i="9"/>
  <c r="O156" i="9"/>
  <c r="K372" i="9"/>
  <c r="O372" i="9"/>
  <c r="K359" i="9"/>
  <c r="O359" i="9"/>
  <c r="K331" i="9"/>
  <c r="O331" i="9"/>
  <c r="O137" i="9"/>
  <c r="K371" i="9"/>
  <c r="O371" i="9"/>
  <c r="K358" i="9"/>
  <c r="O358" i="9"/>
  <c r="K330" i="9"/>
  <c r="O330" i="9"/>
  <c r="O138" i="9"/>
  <c r="K360" i="9"/>
  <c r="O360" i="9"/>
  <c r="K332" i="9"/>
  <c r="O332" i="9"/>
  <c r="K373" i="9"/>
  <c r="O373" i="9"/>
  <c r="K374" i="9"/>
  <c r="O374" i="9"/>
  <c r="O139" i="9"/>
  <c r="K361" i="9"/>
  <c r="O361" i="9"/>
  <c r="K333" i="9"/>
  <c r="O333" i="9"/>
  <c r="K370" i="9"/>
  <c r="O370" i="9"/>
  <c r="K357" i="9"/>
  <c r="O357" i="9"/>
  <c r="K329" i="9"/>
  <c r="O329" i="9"/>
  <c r="O135" i="9"/>
  <c r="L56" i="9"/>
  <c r="L404" i="9"/>
  <c r="O298" i="9"/>
  <c r="O160" i="9"/>
  <c r="L100" i="9"/>
  <c r="O245" i="9"/>
  <c r="O231" i="9"/>
  <c r="L231" i="9"/>
  <c r="O193" i="9"/>
  <c r="L193" i="9"/>
  <c r="O403" i="9"/>
  <c r="O190" i="9"/>
  <c r="O228" i="9"/>
  <c r="O408" i="9"/>
  <c r="O195" i="9"/>
  <c r="O233" i="9"/>
  <c r="L69" i="9"/>
  <c r="L307" i="9"/>
  <c r="O202" i="9"/>
  <c r="O404" i="9"/>
  <c r="O191" i="9"/>
  <c r="O229" i="9"/>
  <c r="O76" i="9"/>
  <c r="L76" i="9"/>
  <c r="O406" i="9"/>
  <c r="L406" i="9"/>
  <c r="O279" i="9"/>
  <c r="L279" i="9"/>
  <c r="O143" i="9"/>
  <c r="L143" i="9"/>
  <c r="L58" i="9"/>
  <c r="O141" i="9"/>
  <c r="O277" i="9"/>
  <c r="O74" i="9"/>
  <c r="O73" i="9"/>
  <c r="O276" i="9"/>
  <c r="O140" i="9"/>
  <c r="O281" i="9"/>
  <c r="O145" i="9"/>
  <c r="O307" i="9"/>
  <c r="L113" i="9"/>
  <c r="L204" i="9"/>
  <c r="L309" i="9"/>
  <c r="O105" i="9"/>
  <c r="O101" i="9"/>
  <c r="O98" i="9"/>
  <c r="O97" i="9"/>
  <c r="O103" i="9"/>
  <c r="O104" i="9"/>
  <c r="L70" i="9"/>
  <c r="O111" i="9"/>
  <c r="O99" i="9"/>
  <c r="L99" i="9"/>
  <c r="O102" i="9"/>
  <c r="L102" i="9"/>
  <c r="L60" i="9"/>
  <c r="L408" i="9"/>
  <c r="L57" i="9"/>
  <c r="L405" i="9"/>
  <c r="L55" i="9"/>
  <c r="L403" i="9"/>
  <c r="L59" i="9"/>
  <c r="L407" i="9"/>
  <c r="O78" i="9"/>
  <c r="G35" i="16"/>
  <c r="K159" i="9"/>
  <c r="K244" i="9"/>
  <c r="K297" i="9"/>
  <c r="K303" i="9"/>
  <c r="K165" i="9"/>
  <c r="K250" i="9"/>
  <c r="K242" i="9"/>
  <c r="K295" i="9"/>
  <c r="K157" i="9"/>
  <c r="K161" i="9"/>
  <c r="K299" i="9"/>
  <c r="K246" i="9"/>
  <c r="K158" i="9"/>
  <c r="K243" i="9"/>
  <c r="K296" i="9"/>
  <c r="K162" i="9"/>
  <c r="K300" i="9"/>
  <c r="K247" i="9"/>
  <c r="K248" i="9"/>
  <c r="K301" i="9"/>
  <c r="K163" i="9"/>
  <c r="K302" i="9"/>
  <c r="K164" i="9"/>
  <c r="K249" i="9"/>
  <c r="S7" i="2"/>
  <c r="Q7" i="2"/>
  <c r="L139" i="9"/>
  <c r="L333" i="9"/>
  <c r="L138" i="9"/>
  <c r="L136" i="9"/>
  <c r="L137" i="9"/>
  <c r="L332" i="9"/>
  <c r="L373" i="9"/>
  <c r="L360" i="9"/>
  <c r="L135" i="9"/>
  <c r="L298" i="9"/>
  <c r="L245" i="9"/>
  <c r="L160" i="9"/>
  <c r="L202" i="9"/>
  <c r="L111" i="9"/>
  <c r="L74" i="9"/>
  <c r="L191" i="9"/>
  <c r="L277" i="9"/>
  <c r="L141" i="9"/>
  <c r="L229" i="9"/>
  <c r="O300" i="9"/>
  <c r="O162" i="9"/>
  <c r="O247" i="9"/>
  <c r="O299" i="9"/>
  <c r="O246" i="9"/>
  <c r="O161" i="9"/>
  <c r="O297" i="9"/>
  <c r="O159" i="9"/>
  <c r="O244" i="9"/>
  <c r="O303" i="9"/>
  <c r="O250" i="9"/>
  <c r="O165" i="9"/>
  <c r="L75" i="9"/>
  <c r="L230" i="9"/>
  <c r="L278" i="9"/>
  <c r="L192" i="9"/>
  <c r="L142" i="9"/>
  <c r="O295" i="9"/>
  <c r="O157" i="9"/>
  <c r="O242" i="9"/>
  <c r="L104" i="9"/>
  <c r="O302" i="9"/>
  <c r="O164" i="9"/>
  <c r="O249" i="9"/>
  <c r="L73" i="9"/>
  <c r="L228" i="9"/>
  <c r="L276" i="9"/>
  <c r="L140" i="9"/>
  <c r="L190" i="9"/>
  <c r="O248" i="9"/>
  <c r="O163" i="9"/>
  <c r="O301" i="9"/>
  <c r="L77" i="9"/>
  <c r="L280" i="9"/>
  <c r="L232" i="9"/>
  <c r="L194" i="9"/>
  <c r="L144" i="9"/>
  <c r="L78" i="9"/>
  <c r="L233" i="9"/>
  <c r="L145" i="9"/>
  <c r="L195" i="9"/>
  <c r="L281" i="9"/>
  <c r="L112" i="9"/>
  <c r="L308" i="9"/>
  <c r="L203" i="9"/>
  <c r="O243" i="9"/>
  <c r="O296" i="9"/>
  <c r="O158" i="9"/>
  <c r="L98" i="9"/>
  <c r="L101" i="9"/>
  <c r="L103" i="9"/>
  <c r="L105" i="9"/>
  <c r="L97" i="9"/>
  <c r="G36" i="16"/>
  <c r="F5" i="9"/>
  <c r="C5" i="9"/>
  <c r="L361" i="9"/>
  <c r="L374" i="9"/>
  <c r="L371" i="9"/>
  <c r="L358" i="9"/>
  <c r="L330" i="9"/>
  <c r="L372" i="9"/>
  <c r="L359" i="9"/>
  <c r="L331" i="9"/>
  <c r="L370" i="9"/>
  <c r="L329" i="9"/>
  <c r="L357" i="9"/>
  <c r="L163" i="9"/>
  <c r="L248" i="9"/>
  <c r="L301" i="9"/>
  <c r="L295" i="9"/>
  <c r="L242" i="9"/>
  <c r="L157" i="9"/>
  <c r="L158" i="9"/>
  <c r="L243" i="9"/>
  <c r="L296" i="9"/>
  <c r="L300" i="9"/>
  <c r="L247" i="9"/>
  <c r="L162" i="9"/>
  <c r="L249" i="9"/>
  <c r="L302" i="9"/>
  <c r="L164" i="9"/>
  <c r="L161" i="9"/>
  <c r="L299" i="9"/>
  <c r="L246" i="9"/>
  <c r="L165" i="9"/>
  <c r="L303" i="9"/>
  <c r="L250" i="9"/>
  <c r="L244" i="9"/>
  <c r="L297" i="9"/>
  <c r="L159" i="9"/>
  <c r="G37" i="16"/>
  <c r="F6" i="9"/>
  <c r="D6" i="9"/>
  <c r="D5" i="9"/>
  <c r="A5" i="9"/>
  <c r="G38" i="16"/>
  <c r="F7" i="9"/>
  <c r="F8" i="9"/>
  <c r="K25" i="9"/>
  <c r="K23" i="9"/>
  <c r="K27" i="9"/>
  <c r="K22" i="9"/>
  <c r="K24" i="9"/>
  <c r="K26" i="9"/>
  <c r="O26" i="9"/>
  <c r="C6" i="9"/>
  <c r="A6" i="9"/>
  <c r="J10" i="2"/>
  <c r="J11" i="2"/>
  <c r="J12" i="2"/>
  <c r="J13" i="2"/>
  <c r="J14" i="2"/>
  <c r="J15" i="2"/>
  <c r="J16" i="2"/>
  <c r="J17" i="2"/>
  <c r="J18" i="2"/>
  <c r="J19" i="2"/>
  <c r="J20" i="2"/>
  <c r="J21" i="2"/>
  <c r="J22" i="2"/>
  <c r="J23" i="2"/>
  <c r="J24" i="2"/>
  <c r="J25" i="2"/>
  <c r="J26" i="2"/>
  <c r="J27" i="2"/>
  <c r="J28" i="2"/>
  <c r="O25" i="9"/>
  <c r="O22" i="9"/>
  <c r="O24" i="9"/>
  <c r="O27" i="9"/>
  <c r="O23" i="9"/>
  <c r="G39" i="16"/>
  <c r="D7" i="9"/>
  <c r="F9" i="9"/>
  <c r="D8" i="9"/>
  <c r="C7" i="9"/>
  <c r="A7" i="9"/>
  <c r="L26" i="9"/>
  <c r="L27" i="9"/>
  <c r="L24" i="9"/>
  <c r="L22" i="9"/>
  <c r="L23" i="9"/>
  <c r="L25" i="9"/>
  <c r="G40" i="16"/>
  <c r="F10" i="9"/>
  <c r="D9" i="9"/>
  <c r="C8" i="9"/>
  <c r="A8" i="9"/>
  <c r="G41" i="16"/>
  <c r="F11" i="9"/>
  <c r="D10" i="9"/>
  <c r="C9" i="9"/>
  <c r="A9" i="9"/>
  <c r="F12" i="9"/>
  <c r="D11" i="9"/>
  <c r="C10" i="9"/>
  <c r="A10" i="9"/>
  <c r="G43" i="16"/>
  <c r="G42" i="16"/>
  <c r="F13" i="9"/>
  <c r="D12" i="9"/>
  <c r="C11" i="9"/>
  <c r="A11" i="9"/>
  <c r="F1" i="18"/>
  <c r="D1" i="18"/>
  <c r="F14" i="9"/>
  <c r="D14" i="9"/>
  <c r="G44" i="16"/>
  <c r="F15" i="9"/>
  <c r="F2" i="18"/>
  <c r="D2" i="18"/>
  <c r="D13" i="9"/>
  <c r="C12" i="9"/>
  <c r="A12" i="9"/>
  <c r="G45" i="16"/>
  <c r="F16" i="9"/>
  <c r="F3" i="18"/>
  <c r="D3" i="18"/>
  <c r="D15" i="9"/>
  <c r="C13" i="9"/>
  <c r="C14" i="9"/>
  <c r="A14" i="9"/>
  <c r="G46" i="16"/>
  <c r="C1" i="18"/>
  <c r="A1" i="18"/>
  <c r="A13" i="9"/>
  <c r="F17" i="9"/>
  <c r="F18" i="9"/>
  <c r="D18" i="9"/>
  <c r="D16" i="9"/>
  <c r="C15" i="9"/>
  <c r="G47" i="16"/>
  <c r="C2" i="18"/>
  <c r="A2" i="18"/>
  <c r="A15" i="9"/>
  <c r="F19" i="9"/>
  <c r="F21" i="9"/>
  <c r="D21" i="9"/>
  <c r="D17" i="9"/>
  <c r="C16" i="9"/>
  <c r="G48" i="16"/>
  <c r="C3" i="18"/>
  <c r="A3" i="18"/>
  <c r="A16" i="9"/>
  <c r="F22" i="9"/>
  <c r="D19" i="9"/>
  <c r="C17" i="9"/>
  <c r="A17" i="9"/>
  <c r="C18" i="9"/>
  <c r="A18" i="9"/>
  <c r="G49" i="16"/>
  <c r="F23" i="9"/>
  <c r="D22" i="9"/>
  <c r="C19" i="9"/>
  <c r="A19" i="9"/>
  <c r="C21" i="9"/>
  <c r="A21" i="9"/>
  <c r="G50" i="16"/>
  <c r="F24" i="9"/>
  <c r="D23" i="9"/>
  <c r="C22" i="9"/>
  <c r="A22" i="9"/>
  <c r="G51" i="16"/>
  <c r="F25" i="9"/>
  <c r="D24" i="9"/>
  <c r="C23" i="9"/>
  <c r="A23" i="9"/>
  <c r="G52" i="16"/>
  <c r="F26" i="9"/>
  <c r="D25" i="9"/>
  <c r="C24" i="9"/>
  <c r="A24" i="9"/>
  <c r="G53" i="16"/>
  <c r="F27" i="9"/>
  <c r="F28" i="9"/>
  <c r="D28" i="9"/>
  <c r="D26" i="9"/>
  <c r="C25" i="9"/>
  <c r="A25" i="9"/>
  <c r="G54" i="16"/>
  <c r="F29" i="9"/>
  <c r="D27" i="9"/>
  <c r="C26" i="9"/>
  <c r="A26" i="9"/>
  <c r="G55" i="16"/>
  <c r="F30" i="9"/>
  <c r="D29" i="9"/>
  <c r="C27" i="9"/>
  <c r="A27" i="9"/>
  <c r="C28" i="9"/>
  <c r="A28" i="9"/>
  <c r="G56" i="16"/>
  <c r="F31" i="9"/>
  <c r="D30" i="9"/>
  <c r="C29" i="9"/>
  <c r="A29" i="9"/>
  <c r="G57" i="16"/>
  <c r="F32" i="9"/>
  <c r="F33" i="9"/>
  <c r="D33" i="9"/>
  <c r="D31" i="9"/>
  <c r="C30" i="9"/>
  <c r="A30" i="9"/>
  <c r="G58" i="16"/>
  <c r="F34" i="9"/>
  <c r="D32" i="9"/>
  <c r="C31" i="9"/>
  <c r="A31" i="9"/>
  <c r="G59" i="16"/>
  <c r="F35" i="9"/>
  <c r="D34" i="9"/>
  <c r="C32" i="9"/>
  <c r="A32" i="9"/>
  <c r="C33" i="9"/>
  <c r="A33" i="9"/>
  <c r="G60" i="16"/>
  <c r="F36" i="9"/>
  <c r="D35" i="9"/>
  <c r="C34" i="9"/>
  <c r="A34" i="9"/>
  <c r="G61" i="16"/>
  <c r="F37" i="9"/>
  <c r="D36" i="9"/>
  <c r="C35" i="9"/>
  <c r="A35" i="9"/>
  <c r="G62" i="16"/>
  <c r="F38" i="9"/>
  <c r="D37" i="9"/>
  <c r="C36" i="9"/>
  <c r="A36" i="9"/>
  <c r="G63" i="16"/>
  <c r="F39" i="9"/>
  <c r="D38" i="9"/>
  <c r="C37" i="9"/>
  <c r="A37" i="9"/>
  <c r="G64" i="16"/>
  <c r="F40" i="9"/>
  <c r="D39" i="9"/>
  <c r="C38" i="9"/>
  <c r="A38" i="9"/>
  <c r="G65" i="16"/>
  <c r="F41" i="9"/>
  <c r="F42" i="9"/>
  <c r="D42" i="9"/>
  <c r="D40" i="9"/>
  <c r="C39" i="9"/>
  <c r="A39" i="9"/>
  <c r="G66" i="16"/>
  <c r="F43" i="9"/>
  <c r="D41" i="9"/>
  <c r="C40" i="9"/>
  <c r="A40" i="9"/>
  <c r="G67" i="16"/>
  <c r="F44" i="9"/>
  <c r="D43" i="9"/>
  <c r="C41" i="9"/>
  <c r="A41" i="9"/>
  <c r="C42" i="9"/>
  <c r="A42" i="9"/>
  <c r="F45" i="9"/>
  <c r="D44" i="9"/>
  <c r="C43" i="9"/>
  <c r="A43" i="9"/>
  <c r="F46" i="9"/>
  <c r="F47" i="9"/>
  <c r="D47" i="9"/>
  <c r="D45" i="9"/>
  <c r="C44" i="9"/>
  <c r="A44" i="9"/>
  <c r="F48" i="9"/>
  <c r="D46" i="9"/>
  <c r="C45" i="9"/>
  <c r="A45" i="9"/>
  <c r="F49" i="9"/>
  <c r="D48" i="9"/>
  <c r="C46" i="9"/>
  <c r="A46" i="9"/>
  <c r="C47" i="9"/>
  <c r="A47" i="9"/>
  <c r="F50" i="9"/>
  <c r="D49" i="9"/>
  <c r="C48" i="9"/>
  <c r="A48" i="9"/>
  <c r="F52" i="9"/>
  <c r="D52" i="9"/>
  <c r="F51" i="9"/>
  <c r="D51" i="9"/>
  <c r="F53" i="9"/>
  <c r="D50" i="9"/>
  <c r="C49" i="9"/>
  <c r="A49" i="9"/>
  <c r="F55" i="9"/>
  <c r="F54" i="9"/>
  <c r="D54" i="9"/>
  <c r="F56" i="9"/>
  <c r="D55" i="9"/>
  <c r="D53" i="9"/>
  <c r="C50" i="9"/>
  <c r="A50" i="9"/>
  <c r="C51" i="9"/>
  <c r="A51" i="9"/>
  <c r="D56" i="9"/>
  <c r="F57" i="9"/>
  <c r="F58" i="9"/>
  <c r="D58" i="9"/>
  <c r="C53" i="9"/>
  <c r="C54" i="9"/>
  <c r="A54" i="9"/>
  <c r="C55" i="9"/>
  <c r="A55" i="9"/>
  <c r="A53" i="9"/>
  <c r="D57" i="9"/>
  <c r="F59" i="9"/>
  <c r="C56" i="9"/>
  <c r="A56" i="9"/>
  <c r="F60" i="9"/>
  <c r="D59" i="9"/>
  <c r="C57" i="9"/>
  <c r="D60" i="9"/>
  <c r="F61" i="9"/>
  <c r="A57" i="9"/>
  <c r="C58" i="9"/>
  <c r="A58" i="9"/>
  <c r="C59" i="9"/>
  <c r="A59" i="9"/>
  <c r="F62" i="9"/>
  <c r="D61" i="9"/>
  <c r="C60" i="9"/>
  <c r="A60" i="9"/>
  <c r="F63" i="9"/>
  <c r="D62" i="9"/>
  <c r="C61" i="9"/>
  <c r="A61" i="9"/>
  <c r="D63" i="9"/>
  <c r="F64" i="9"/>
  <c r="C62" i="9"/>
  <c r="A62" i="9"/>
  <c r="F65" i="9"/>
  <c r="F66" i="9"/>
  <c r="D66" i="9"/>
  <c r="D64" i="9"/>
  <c r="C63" i="9"/>
  <c r="A63" i="9"/>
  <c r="F67" i="9"/>
  <c r="D65" i="9"/>
  <c r="C64" i="9"/>
  <c r="A64" i="9"/>
  <c r="F68" i="9"/>
  <c r="D67" i="9"/>
  <c r="C65" i="9"/>
  <c r="D68" i="9"/>
  <c r="F69" i="9"/>
  <c r="A65" i="9"/>
  <c r="C66" i="9"/>
  <c r="A66" i="9"/>
  <c r="C67" i="9"/>
  <c r="A67" i="9"/>
  <c r="F70" i="9"/>
  <c r="D69" i="9"/>
  <c r="C68" i="9"/>
  <c r="A68" i="9"/>
  <c r="F71" i="9"/>
  <c r="F72" i="9"/>
  <c r="D72" i="9"/>
  <c r="D70" i="9"/>
  <c r="C69" i="9"/>
  <c r="A69" i="9"/>
  <c r="D71" i="9"/>
  <c r="F73" i="9"/>
  <c r="C70" i="9"/>
  <c r="A70" i="9"/>
  <c r="D73" i="9"/>
  <c r="F74" i="9"/>
  <c r="C71" i="9"/>
  <c r="F75" i="9"/>
  <c r="F76" i="9"/>
  <c r="D76" i="9"/>
  <c r="D74" i="9"/>
  <c r="A71" i="9"/>
  <c r="C72" i="9"/>
  <c r="A72" i="9"/>
  <c r="C73" i="9"/>
  <c r="A73" i="9"/>
  <c r="F77" i="9"/>
  <c r="D75" i="9"/>
  <c r="C74" i="9"/>
  <c r="A74" i="9"/>
  <c r="F78" i="9"/>
  <c r="D77" i="9"/>
  <c r="C75" i="9"/>
  <c r="D78" i="9"/>
  <c r="F79" i="9"/>
  <c r="A75" i="9"/>
  <c r="C76" i="9"/>
  <c r="A76" i="9"/>
  <c r="C77" i="9"/>
  <c r="A77" i="9"/>
  <c r="F80" i="9"/>
  <c r="D79" i="9"/>
  <c r="C78" i="9"/>
  <c r="A78" i="9"/>
  <c r="F81" i="9"/>
  <c r="D80" i="9"/>
  <c r="C79" i="9"/>
  <c r="A79" i="9"/>
  <c r="D81" i="9"/>
  <c r="F82" i="9"/>
  <c r="F84" i="9"/>
  <c r="D84" i="9"/>
  <c r="F83" i="9"/>
  <c r="D83" i="9"/>
  <c r="C80" i="9"/>
  <c r="A80" i="9"/>
  <c r="F85" i="9"/>
  <c r="D82" i="9"/>
  <c r="C81" i="9"/>
  <c r="A81" i="9"/>
  <c r="F87" i="9"/>
  <c r="D85" i="9"/>
  <c r="C82" i="9"/>
  <c r="C83" i="9"/>
  <c r="A83" i="9"/>
  <c r="F88" i="9"/>
  <c r="F86" i="9"/>
  <c r="D86" i="9"/>
  <c r="D87" i="9"/>
  <c r="A82" i="9"/>
  <c r="C84" i="9"/>
  <c r="A84" i="9"/>
  <c r="C85" i="9"/>
  <c r="A85" i="9"/>
  <c r="D88" i="9"/>
  <c r="F89" i="9"/>
  <c r="F90" i="9"/>
  <c r="D90" i="9"/>
  <c r="C87" i="9"/>
  <c r="A87" i="9"/>
  <c r="F91" i="9"/>
  <c r="D89" i="9"/>
  <c r="C88" i="9"/>
  <c r="C86" i="9"/>
  <c r="A86" i="9"/>
  <c r="F92" i="9"/>
  <c r="D91" i="9"/>
  <c r="C89" i="9"/>
  <c r="A88" i="9"/>
  <c r="F93" i="9"/>
  <c r="D92" i="9"/>
  <c r="A89" i="9"/>
  <c r="C90" i="9"/>
  <c r="A90" i="9"/>
  <c r="C91" i="9"/>
  <c r="A91" i="9"/>
  <c r="F94" i="9"/>
  <c r="D93" i="9"/>
  <c r="C92" i="9"/>
  <c r="A92" i="9"/>
  <c r="D94" i="9"/>
  <c r="F95" i="9"/>
  <c r="F96" i="9"/>
  <c r="D96" i="9"/>
  <c r="C93" i="9"/>
  <c r="A93" i="9"/>
  <c r="D95" i="9"/>
  <c r="C94" i="9"/>
  <c r="A94" i="9"/>
  <c r="F97" i="9"/>
  <c r="C95" i="9"/>
  <c r="D97" i="9"/>
  <c r="F98" i="9"/>
  <c r="A95" i="9"/>
  <c r="C96" i="9"/>
  <c r="A96" i="9"/>
  <c r="F99" i="9"/>
  <c r="F100" i="9"/>
  <c r="D100" i="9"/>
  <c r="D98" i="9"/>
  <c r="C97" i="9"/>
  <c r="A97" i="9"/>
  <c r="F101" i="9"/>
  <c r="D99" i="9"/>
  <c r="C98" i="9"/>
  <c r="A98" i="9"/>
  <c r="F102" i="9"/>
  <c r="D101" i="9"/>
  <c r="C99" i="9"/>
  <c r="D102" i="9"/>
  <c r="F103" i="9"/>
  <c r="A99" i="9"/>
  <c r="C100" i="9"/>
  <c r="A100" i="9"/>
  <c r="C101" i="9"/>
  <c r="A101" i="9"/>
  <c r="F104" i="9"/>
  <c r="D103" i="9"/>
  <c r="C102" i="9"/>
  <c r="A102" i="9"/>
  <c r="F105" i="9"/>
  <c r="D104" i="9"/>
  <c r="C103" i="9"/>
  <c r="A103" i="9"/>
  <c r="F106" i="9"/>
  <c r="D105" i="9"/>
  <c r="C104" i="9"/>
  <c r="A104" i="9"/>
  <c r="D106" i="9"/>
  <c r="F107" i="9"/>
  <c r="C105" i="9"/>
  <c r="A105" i="9"/>
  <c r="D107" i="9"/>
  <c r="F108" i="9"/>
  <c r="C106" i="9"/>
  <c r="A106" i="9"/>
  <c r="D108" i="9"/>
  <c r="F109" i="9"/>
  <c r="C107" i="9"/>
  <c r="A107" i="9"/>
  <c r="F110" i="9"/>
  <c r="F111" i="9"/>
  <c r="D109" i="9"/>
  <c r="C108" i="9"/>
  <c r="A108" i="9"/>
  <c r="D111" i="9"/>
  <c r="F112" i="9"/>
  <c r="D110" i="9"/>
  <c r="C109" i="9"/>
  <c r="A109" i="9"/>
  <c r="F113" i="9"/>
  <c r="F114" i="9"/>
  <c r="D114" i="9"/>
  <c r="D112" i="9"/>
  <c r="C110" i="9"/>
  <c r="C111" i="9"/>
  <c r="A111" i="9"/>
  <c r="D113" i="9"/>
  <c r="F115" i="9"/>
  <c r="A110" i="9"/>
  <c r="C112" i="9"/>
  <c r="A112" i="9"/>
  <c r="F116" i="9"/>
  <c r="D115" i="9"/>
  <c r="C113" i="9"/>
  <c r="D116" i="9"/>
  <c r="F117" i="9"/>
  <c r="A113" i="9"/>
  <c r="C114" i="9"/>
  <c r="A114" i="9"/>
  <c r="C115" i="9"/>
  <c r="A115" i="9"/>
  <c r="D117" i="9"/>
  <c r="F118" i="9"/>
  <c r="C116" i="9"/>
  <c r="A116" i="9"/>
  <c r="F119" i="9"/>
  <c r="D118" i="9"/>
  <c r="C117" i="9"/>
  <c r="A117" i="9"/>
  <c r="F120" i="9"/>
  <c r="D119" i="9"/>
  <c r="F4" i="18"/>
  <c r="D4" i="18"/>
  <c r="F121" i="9"/>
  <c r="C118" i="9"/>
  <c r="A118" i="9"/>
  <c r="D120" i="9"/>
  <c r="F123" i="9"/>
  <c r="D123" i="9"/>
  <c r="D121" i="9"/>
  <c r="F122" i="9"/>
  <c r="D122" i="9"/>
  <c r="C119" i="9"/>
  <c r="A119" i="9"/>
  <c r="F5" i="18"/>
  <c r="F124" i="9"/>
  <c r="D124" i="9"/>
  <c r="C120" i="9"/>
  <c r="F125" i="9"/>
  <c r="D5" i="18"/>
  <c r="C4" i="18"/>
  <c r="A4" i="18"/>
  <c r="C121" i="9"/>
  <c r="A120" i="9"/>
  <c r="F126" i="9"/>
  <c r="D125" i="9"/>
  <c r="C123" i="9"/>
  <c r="A123" i="9"/>
  <c r="A121" i="9"/>
  <c r="C122" i="9"/>
  <c r="A122" i="9"/>
  <c r="F127" i="9"/>
  <c r="D126" i="9"/>
  <c r="C5" i="18"/>
  <c r="C124" i="9"/>
  <c r="A124" i="9"/>
  <c r="D127" i="9"/>
  <c r="F128" i="9"/>
  <c r="C125" i="9"/>
  <c r="A125" i="9"/>
  <c r="A5" i="18"/>
  <c r="D128" i="9"/>
  <c r="F129" i="9"/>
  <c r="C126" i="9"/>
  <c r="A126" i="9"/>
  <c r="F130" i="9"/>
  <c r="D129" i="9"/>
  <c r="C127" i="9"/>
  <c r="A127" i="9"/>
  <c r="F131" i="9"/>
  <c r="F132" i="9"/>
  <c r="D132" i="9"/>
  <c r="D130" i="9"/>
  <c r="C128" i="9"/>
  <c r="A128" i="9"/>
  <c r="D131" i="9"/>
  <c r="F133" i="9"/>
  <c r="C129" i="9"/>
  <c r="A129" i="9"/>
  <c r="D133" i="9"/>
  <c r="F134" i="9"/>
  <c r="C130" i="9"/>
  <c r="A130" i="9"/>
  <c r="F135" i="9"/>
  <c r="F136" i="9"/>
  <c r="F137" i="9"/>
  <c r="D137" i="9"/>
  <c r="D134" i="9"/>
  <c r="C131" i="9"/>
  <c r="D136" i="9"/>
  <c r="F138" i="9"/>
  <c r="D138" i="9"/>
  <c r="F139" i="9"/>
  <c r="D135" i="9"/>
  <c r="A131" i="9"/>
  <c r="C132" i="9"/>
  <c r="A132" i="9"/>
  <c r="C133" i="9"/>
  <c r="A133" i="9"/>
  <c r="D139" i="9"/>
  <c r="F140" i="9"/>
  <c r="C134" i="9"/>
  <c r="A134" i="9"/>
  <c r="F141" i="9"/>
  <c r="D140" i="9"/>
  <c r="C135" i="9"/>
  <c r="C136" i="9"/>
  <c r="C137" i="9"/>
  <c r="A137" i="9"/>
  <c r="D141" i="9"/>
  <c r="F142" i="9"/>
  <c r="F143" i="9"/>
  <c r="D143" i="9"/>
  <c r="C139" i="9"/>
  <c r="A139" i="9"/>
  <c r="A136" i="9"/>
  <c r="A135" i="9"/>
  <c r="C138" i="9"/>
  <c r="A138" i="9"/>
  <c r="D142" i="9"/>
  <c r="F144" i="9"/>
  <c r="C140" i="9"/>
  <c r="A140" i="9"/>
  <c r="F145" i="9"/>
  <c r="D144" i="9"/>
  <c r="C141" i="9"/>
  <c r="A141" i="9"/>
  <c r="D145" i="9"/>
  <c r="F146" i="9"/>
  <c r="C142" i="9"/>
  <c r="A142" i="9"/>
  <c r="D146" i="9"/>
  <c r="F147" i="9"/>
  <c r="C144" i="9"/>
  <c r="A144" i="9"/>
  <c r="C143" i="9"/>
  <c r="A143" i="9"/>
  <c r="F148" i="9"/>
  <c r="D147" i="9"/>
  <c r="C145" i="9"/>
  <c r="A145" i="9"/>
  <c r="F149" i="9"/>
  <c r="D148" i="9"/>
  <c r="C146" i="9"/>
  <c r="A146" i="9"/>
  <c r="F151" i="9"/>
  <c r="D151" i="9"/>
  <c r="F150" i="9"/>
  <c r="D150" i="9"/>
  <c r="D149" i="9"/>
  <c r="F152" i="9"/>
  <c r="C147" i="9"/>
  <c r="A147" i="9"/>
  <c r="D152" i="9"/>
  <c r="F153" i="9"/>
  <c r="C148" i="9"/>
  <c r="A148" i="9"/>
  <c r="F154" i="9"/>
  <c r="F155" i="9"/>
  <c r="D155" i="9"/>
  <c r="D153" i="9"/>
  <c r="C149" i="9"/>
  <c r="C150" i="9"/>
  <c r="A150" i="9"/>
  <c r="A149" i="9"/>
  <c r="C151" i="9"/>
  <c r="A151" i="9"/>
  <c r="D154" i="9"/>
  <c r="F156" i="9"/>
  <c r="C152" i="9"/>
  <c r="A152" i="9"/>
  <c r="D156" i="9"/>
  <c r="F157" i="9"/>
  <c r="C153" i="9"/>
  <c r="A153" i="9"/>
  <c r="D157" i="9"/>
  <c r="F158" i="9"/>
  <c r="C154" i="9"/>
  <c r="C155" i="9"/>
  <c r="A155" i="9"/>
  <c r="A154" i="9"/>
  <c r="D158" i="9"/>
  <c r="F159" i="9"/>
  <c r="F160" i="9"/>
  <c r="D160" i="9"/>
  <c r="C156" i="9"/>
  <c r="A156" i="9"/>
  <c r="C157" i="9"/>
  <c r="A157" i="9"/>
  <c r="F161" i="9"/>
  <c r="D159" i="9"/>
  <c r="F162" i="9"/>
  <c r="D161" i="9"/>
  <c r="C158" i="9"/>
  <c r="A158" i="9"/>
  <c r="C159" i="9"/>
  <c r="D162" i="9"/>
  <c r="F163" i="9"/>
  <c r="A159" i="9"/>
  <c r="C160" i="9"/>
  <c r="A160" i="9"/>
  <c r="C161" i="9"/>
  <c r="A161" i="9"/>
  <c r="D163" i="9"/>
  <c r="F164" i="9"/>
  <c r="F165" i="9"/>
  <c r="F166" i="9"/>
  <c r="F167" i="9"/>
  <c r="F168" i="9"/>
  <c r="F169" i="9"/>
  <c r="F170" i="9"/>
  <c r="F171" i="9"/>
  <c r="F172" i="9"/>
  <c r="F173" i="9"/>
  <c r="F174" i="9"/>
  <c r="D164" i="9"/>
  <c r="C162" i="9"/>
  <c r="A162" i="9"/>
  <c r="F176" i="9"/>
  <c r="F177" i="9"/>
  <c r="F178" i="9"/>
  <c r="F180" i="9"/>
  <c r="F181" i="9"/>
  <c r="D181" i="9"/>
  <c r="F175" i="9"/>
  <c r="D175" i="9"/>
  <c r="D165" i="9"/>
  <c r="C163" i="9"/>
  <c r="A163" i="9"/>
  <c r="F179" i="9"/>
  <c r="D179" i="9"/>
  <c r="D166" i="9"/>
  <c r="C164" i="9"/>
  <c r="A164" i="9"/>
  <c r="D167" i="9"/>
  <c r="C165" i="9"/>
  <c r="A165" i="9"/>
  <c r="C166" i="9"/>
  <c r="A166" i="9"/>
  <c r="D168" i="9"/>
  <c r="C167" i="9"/>
  <c r="A167" i="9"/>
  <c r="D169" i="9"/>
  <c r="D170" i="9"/>
  <c r="C168" i="9"/>
  <c r="A168" i="9"/>
  <c r="D171" i="9"/>
  <c r="C169" i="9"/>
  <c r="A169" i="9"/>
  <c r="C196" i="9"/>
  <c r="D172" i="9"/>
  <c r="C170" i="9"/>
  <c r="A170" i="9"/>
  <c r="C197" i="9"/>
  <c r="A196" i="9"/>
  <c r="D173" i="9"/>
  <c r="C171" i="9"/>
  <c r="A171" i="9"/>
  <c r="C198" i="9"/>
  <c r="A197" i="9"/>
  <c r="C172" i="9"/>
  <c r="A172" i="9"/>
  <c r="D174" i="9"/>
  <c r="A198" i="9"/>
  <c r="C199" i="9"/>
  <c r="C173" i="9"/>
  <c r="A173" i="9"/>
  <c r="D176" i="9"/>
  <c r="A199" i="9"/>
  <c r="C200" i="9"/>
  <c r="C201" i="9"/>
  <c r="A201" i="9"/>
  <c r="C174" i="9"/>
  <c r="D177" i="9"/>
  <c r="A174" i="9"/>
  <c r="C175" i="9"/>
  <c r="A175" i="9"/>
  <c r="C202" i="9"/>
  <c r="A200" i="9"/>
  <c r="C176" i="9"/>
  <c r="A176" i="9"/>
  <c r="D178" i="9"/>
  <c r="C203" i="9"/>
  <c r="A202" i="9"/>
  <c r="D180" i="9"/>
  <c r="F182" i="9"/>
  <c r="F183" i="9"/>
  <c r="D183" i="9"/>
  <c r="C177" i="9"/>
  <c r="A177" i="9"/>
  <c r="A203" i="9"/>
  <c r="C204" i="9"/>
  <c r="C205" i="9"/>
  <c r="A205" i="9"/>
  <c r="D182" i="9"/>
  <c r="C178" i="9"/>
  <c r="A178" i="9"/>
  <c r="C179" i="9"/>
  <c r="A179" i="9"/>
  <c r="A204" i="9"/>
  <c r="C206" i="9"/>
  <c r="F184" i="9"/>
  <c r="C180" i="9"/>
  <c r="A180" i="9"/>
  <c r="C181" i="9"/>
  <c r="A181" i="9"/>
  <c r="C207" i="9"/>
  <c r="A206" i="9"/>
  <c r="C182" i="9"/>
  <c r="F185" i="9"/>
  <c r="D184" i="9"/>
  <c r="A182" i="9"/>
  <c r="C183" i="9"/>
  <c r="A183" i="9"/>
  <c r="C208" i="9"/>
  <c r="A207" i="9"/>
  <c r="D185" i="9"/>
  <c r="F186" i="9"/>
  <c r="A208" i="9"/>
  <c r="C209" i="9"/>
  <c r="C184" i="9"/>
  <c r="A184" i="9"/>
  <c r="D186" i="9"/>
  <c r="F187" i="9"/>
  <c r="A209" i="9"/>
  <c r="C210" i="9"/>
  <c r="C185" i="9"/>
  <c r="A185" i="9"/>
  <c r="F188" i="9"/>
  <c r="F189" i="9"/>
  <c r="D189" i="9"/>
  <c r="D187" i="9"/>
  <c r="F6" i="18"/>
  <c r="D6" i="18"/>
  <c r="F190" i="9"/>
  <c r="C211" i="9"/>
  <c r="A210" i="9"/>
  <c r="D188" i="9"/>
  <c r="C186" i="9"/>
  <c r="A186" i="9"/>
  <c r="F191" i="9"/>
  <c r="D190" i="9"/>
  <c r="C212" i="9"/>
  <c r="A211" i="9"/>
  <c r="C187" i="9"/>
  <c r="A187" i="9"/>
  <c r="F192" i="9"/>
  <c r="F193" i="9"/>
  <c r="D193" i="9"/>
  <c r="D191" i="9"/>
  <c r="A212" i="9"/>
  <c r="C213" i="9"/>
  <c r="C214" i="9"/>
  <c r="A214" i="9"/>
  <c r="C188" i="9"/>
  <c r="C189" i="9"/>
  <c r="A189" i="9"/>
  <c r="A213" i="9"/>
  <c r="C215" i="9"/>
  <c r="C216" i="9"/>
  <c r="C217" i="9"/>
  <c r="C218" i="9"/>
  <c r="C219" i="9"/>
  <c r="A219" i="9"/>
  <c r="F194" i="9"/>
  <c r="D192" i="9"/>
  <c r="C6" i="18"/>
  <c r="A6" i="18"/>
  <c r="A188" i="9"/>
  <c r="C221" i="9"/>
  <c r="C222" i="9"/>
  <c r="C223" i="9"/>
  <c r="C224" i="9"/>
  <c r="C225" i="9"/>
  <c r="C226" i="9"/>
  <c r="C227" i="9"/>
  <c r="C228" i="9"/>
  <c r="C229" i="9"/>
  <c r="C230" i="9"/>
  <c r="C231" i="9"/>
  <c r="C232" i="9"/>
  <c r="C233" i="9"/>
  <c r="C234" i="9"/>
  <c r="C235" i="9"/>
  <c r="C236" i="9"/>
  <c r="C237" i="9"/>
  <c r="C220" i="9"/>
  <c r="A220" i="9"/>
  <c r="D194" i="9"/>
  <c r="F195" i="9"/>
  <c r="C190" i="9"/>
  <c r="A190" i="9"/>
  <c r="C239" i="9"/>
  <c r="C240" i="9"/>
  <c r="C241" i="9"/>
  <c r="C242" i="9"/>
  <c r="C243" i="9"/>
  <c r="C244" i="9"/>
  <c r="C245" i="9"/>
  <c r="A245" i="9"/>
  <c r="C238" i="9"/>
  <c r="A238" i="9"/>
  <c r="F196" i="9"/>
  <c r="D195" i="9"/>
  <c r="C191" i="9"/>
  <c r="A191" i="9"/>
  <c r="C246" i="9"/>
  <c r="C247" i="9"/>
  <c r="C248" i="9"/>
  <c r="C249" i="9"/>
  <c r="C250" i="9"/>
  <c r="C251" i="9"/>
  <c r="C252" i="9"/>
  <c r="C253" i="9"/>
  <c r="C254" i="9"/>
  <c r="C255" i="9"/>
  <c r="C256" i="9"/>
  <c r="C257" i="9"/>
  <c r="C258" i="9"/>
  <c r="C259" i="9"/>
  <c r="C260" i="9"/>
  <c r="C261" i="9"/>
  <c r="C262" i="9"/>
  <c r="C264" i="9"/>
  <c r="C265" i="9"/>
  <c r="C266" i="9"/>
  <c r="C268" i="9"/>
  <c r="C192" i="9"/>
  <c r="F197" i="9"/>
  <c r="D196" i="9"/>
  <c r="C270" i="9"/>
  <c r="C271" i="9"/>
  <c r="C272" i="9"/>
  <c r="C269" i="9"/>
  <c r="A269" i="9"/>
  <c r="C274" i="9"/>
  <c r="C275" i="9"/>
  <c r="C276" i="9"/>
  <c r="C277" i="9"/>
  <c r="C278" i="9"/>
  <c r="C279" i="9"/>
  <c r="C280" i="9"/>
  <c r="C281" i="9"/>
  <c r="C282" i="9"/>
  <c r="C283" i="9"/>
  <c r="C284" i="9"/>
  <c r="C285" i="9"/>
  <c r="C286" i="9"/>
  <c r="C273" i="9"/>
  <c r="A273" i="9"/>
  <c r="A262" i="9"/>
  <c r="C263" i="9"/>
  <c r="A263" i="9"/>
  <c r="C267" i="9"/>
  <c r="A267" i="9"/>
  <c r="A192" i="9"/>
  <c r="C193" i="9"/>
  <c r="A193" i="9"/>
  <c r="C194" i="9"/>
  <c r="A194" i="9"/>
  <c r="D197" i="9"/>
  <c r="F198" i="9"/>
  <c r="C288" i="9"/>
  <c r="C289" i="9"/>
  <c r="C290" i="9"/>
  <c r="A290" i="9"/>
  <c r="C287" i="9"/>
  <c r="A287" i="9"/>
  <c r="C195" i="9"/>
  <c r="A195" i="9"/>
  <c r="F199" i="9"/>
  <c r="D198" i="9"/>
  <c r="C291" i="9"/>
  <c r="C292" i="9"/>
  <c r="C294" i="9"/>
  <c r="C295" i="9"/>
  <c r="C296" i="9"/>
  <c r="C297" i="9"/>
  <c r="C298" i="9"/>
  <c r="A298" i="9"/>
  <c r="C293" i="9"/>
  <c r="A293" i="9"/>
  <c r="F200" i="9"/>
  <c r="F201" i="9"/>
  <c r="D201" i="9"/>
  <c r="D199" i="9"/>
  <c r="C299" i="9"/>
  <c r="C300" i="9"/>
  <c r="C301" i="9"/>
  <c r="C302" i="9"/>
  <c r="C303" i="9"/>
  <c r="C304" i="9"/>
  <c r="C305" i="9"/>
  <c r="C306" i="9"/>
  <c r="C307" i="9"/>
  <c r="C308" i="9"/>
  <c r="C309" i="9"/>
  <c r="C311" i="9"/>
  <c r="C312" i="9"/>
  <c r="C313" i="9"/>
  <c r="C314" i="9"/>
  <c r="C315" i="9"/>
  <c r="C316" i="9"/>
  <c r="C317" i="9"/>
  <c r="C318" i="9"/>
  <c r="A318" i="9"/>
  <c r="F202" i="9"/>
  <c r="D200" i="9"/>
  <c r="C310" i="9"/>
  <c r="A310" i="9"/>
  <c r="A317" i="9"/>
  <c r="C319" i="9"/>
  <c r="C320" i="9"/>
  <c r="C321" i="9"/>
  <c r="C322" i="9"/>
  <c r="C323" i="9"/>
  <c r="C324" i="9"/>
  <c r="C325" i="9"/>
  <c r="C326" i="9"/>
  <c r="C327" i="9"/>
  <c r="D202" i="9"/>
  <c r="F203" i="9"/>
  <c r="C329" i="9"/>
  <c r="C330" i="9"/>
  <c r="C332" i="9"/>
  <c r="C333" i="9"/>
  <c r="C334" i="9"/>
  <c r="C335" i="9"/>
  <c r="C336" i="9"/>
  <c r="C337" i="9"/>
  <c r="C338" i="9"/>
  <c r="C339" i="9"/>
  <c r="C340" i="9"/>
  <c r="C341" i="9"/>
  <c r="C342" i="9"/>
  <c r="C343" i="9"/>
  <c r="C328" i="9"/>
  <c r="A328" i="9"/>
  <c r="C331" i="9"/>
  <c r="A331" i="9"/>
  <c r="A330" i="9"/>
  <c r="F204" i="9"/>
  <c r="D203" i="9"/>
  <c r="C345" i="9"/>
  <c r="C346" i="9"/>
  <c r="C347" i="9"/>
  <c r="C348" i="9"/>
  <c r="C349" i="9"/>
  <c r="C350" i="9"/>
  <c r="C351" i="9"/>
  <c r="C352" i="9"/>
  <c r="C353" i="9"/>
  <c r="C355" i="9"/>
  <c r="C356" i="9"/>
  <c r="C357" i="9"/>
  <c r="C358" i="9"/>
  <c r="A332" i="9"/>
  <c r="F206" i="9"/>
  <c r="F207" i="9"/>
  <c r="F208" i="9"/>
  <c r="F209" i="9"/>
  <c r="F210" i="9"/>
  <c r="F211" i="9"/>
  <c r="F212" i="9"/>
  <c r="F213" i="9"/>
  <c r="F215" i="9"/>
  <c r="F216" i="9"/>
  <c r="F217" i="9"/>
  <c r="F218" i="9"/>
  <c r="F219" i="9"/>
  <c r="D219" i="9"/>
  <c r="F205" i="9"/>
  <c r="D205" i="9"/>
  <c r="C344" i="9"/>
  <c r="A344" i="9"/>
  <c r="A343" i="9"/>
  <c r="D204" i="9"/>
  <c r="C354" i="9"/>
  <c r="A354" i="9"/>
  <c r="A358" i="9"/>
  <c r="C360" i="9"/>
  <c r="C359" i="9"/>
  <c r="A359" i="9"/>
  <c r="F214" i="9"/>
  <c r="D214" i="9"/>
  <c r="F220" i="9"/>
  <c r="D220" i="9"/>
  <c r="F221" i="9"/>
  <c r="F222" i="9"/>
  <c r="F223" i="9"/>
  <c r="F224" i="9"/>
  <c r="F225" i="9"/>
  <c r="F226" i="9"/>
  <c r="F227" i="9"/>
  <c r="F228" i="9"/>
  <c r="F229" i="9"/>
  <c r="F230" i="9"/>
  <c r="F231" i="9"/>
  <c r="F232" i="9"/>
  <c r="F233" i="9"/>
  <c r="F234" i="9"/>
  <c r="F235" i="9"/>
  <c r="F236" i="9"/>
  <c r="F237" i="9"/>
  <c r="F238" i="9"/>
  <c r="D238" i="9"/>
  <c r="A360" i="9"/>
  <c r="C361" i="9"/>
  <c r="D206" i="9"/>
  <c r="F239" i="9"/>
  <c r="F240" i="9"/>
  <c r="F241" i="9"/>
  <c r="F242" i="9"/>
  <c r="F243" i="9"/>
  <c r="F244" i="9"/>
  <c r="F246" i="9"/>
  <c r="F247" i="9"/>
  <c r="F248" i="9"/>
  <c r="F249" i="9"/>
  <c r="F250" i="9"/>
  <c r="F251" i="9"/>
  <c r="F252" i="9"/>
  <c r="F253" i="9"/>
  <c r="F254" i="9"/>
  <c r="F255" i="9"/>
  <c r="F256" i="9"/>
  <c r="F257" i="9"/>
  <c r="F258" i="9"/>
  <c r="F259" i="9"/>
  <c r="F260" i="9"/>
  <c r="F261" i="9"/>
  <c r="F262" i="9"/>
  <c r="F264" i="9"/>
  <c r="F265" i="9"/>
  <c r="F266" i="9"/>
  <c r="F267" i="9"/>
  <c r="D267" i="9"/>
  <c r="C362" i="9"/>
  <c r="C363" i="9"/>
  <c r="C364" i="9"/>
  <c r="C365" i="9"/>
  <c r="C366" i="9"/>
  <c r="C367" i="9"/>
  <c r="C368" i="9"/>
  <c r="A361" i="9"/>
  <c r="D207" i="9"/>
  <c r="C370" i="9"/>
  <c r="C371" i="9"/>
  <c r="C369" i="9"/>
  <c r="A369" i="9"/>
  <c r="F245" i="9"/>
  <c r="D245" i="9"/>
  <c r="F268" i="9"/>
  <c r="F263" i="9"/>
  <c r="D263" i="9"/>
  <c r="C373" i="9"/>
  <c r="A371" i="9"/>
  <c r="C372" i="9"/>
  <c r="A372" i="9"/>
  <c r="D208" i="9"/>
  <c r="F270" i="9"/>
  <c r="F271" i="9"/>
  <c r="F272" i="9"/>
  <c r="F274" i="9"/>
  <c r="F275" i="9"/>
  <c r="F276" i="9"/>
  <c r="F277" i="9"/>
  <c r="F278" i="9"/>
  <c r="F279" i="9"/>
  <c r="F280" i="9"/>
  <c r="F281" i="9"/>
  <c r="F282" i="9"/>
  <c r="F283" i="9"/>
  <c r="F284" i="9"/>
  <c r="F285" i="9"/>
  <c r="F286" i="9"/>
  <c r="F287" i="9"/>
  <c r="D287" i="9"/>
  <c r="F269" i="9"/>
  <c r="D269" i="9"/>
  <c r="F273" i="9"/>
  <c r="D273" i="9"/>
  <c r="A373" i="9"/>
  <c r="C374" i="9"/>
  <c r="D209" i="9"/>
  <c r="F288" i="9"/>
  <c r="F289" i="9"/>
  <c r="A374" i="9"/>
  <c r="C375" i="9"/>
  <c r="C376" i="9"/>
  <c r="C377" i="9"/>
  <c r="C378" i="9"/>
  <c r="C379" i="9"/>
  <c r="C380" i="9"/>
  <c r="A215" i="9"/>
  <c r="D210" i="9"/>
  <c r="A216" i="9"/>
  <c r="F291" i="9"/>
  <c r="F292" i="9"/>
  <c r="F290" i="9"/>
  <c r="D290" i="9"/>
  <c r="C381" i="9"/>
  <c r="C383" i="9"/>
  <c r="C384" i="9"/>
  <c r="C385" i="9"/>
  <c r="C386" i="9"/>
  <c r="C387" i="9"/>
  <c r="C388" i="9"/>
  <c r="C389" i="9"/>
  <c r="C390" i="9"/>
  <c r="C391" i="9"/>
  <c r="C392" i="9"/>
  <c r="C393" i="9"/>
  <c r="D211" i="9"/>
  <c r="A217" i="9"/>
  <c r="F293" i="9"/>
  <c r="D293" i="9"/>
  <c r="F294" i="9"/>
  <c r="F295" i="9"/>
  <c r="F296" i="9"/>
  <c r="F297" i="9"/>
  <c r="C395" i="9"/>
  <c r="C396" i="9"/>
  <c r="C397" i="9"/>
  <c r="C394" i="9"/>
  <c r="A394" i="9"/>
  <c r="A381" i="9"/>
  <c r="C382" i="9"/>
  <c r="A382" i="9"/>
  <c r="D212" i="9"/>
  <c r="A218" i="9"/>
  <c r="F299" i="9"/>
  <c r="F300" i="9"/>
  <c r="F301" i="9"/>
  <c r="F302" i="9"/>
  <c r="F303" i="9"/>
  <c r="F304" i="9"/>
  <c r="F305" i="9"/>
  <c r="F306" i="9"/>
  <c r="F307" i="9"/>
  <c r="F308" i="9"/>
  <c r="F309" i="9"/>
  <c r="F298" i="9"/>
  <c r="D298" i="9"/>
  <c r="C399" i="9"/>
  <c r="C398" i="9"/>
  <c r="A398" i="9"/>
  <c r="D213" i="9"/>
  <c r="A221" i="9"/>
  <c r="C401" i="9"/>
  <c r="C402" i="9"/>
  <c r="C403" i="9"/>
  <c r="C404" i="9"/>
  <c r="C405" i="9"/>
  <c r="C406" i="9"/>
  <c r="C407" i="9"/>
  <c r="C408" i="9"/>
  <c r="C409" i="9"/>
  <c r="C411" i="9"/>
  <c r="C412" i="9"/>
  <c r="C413" i="9"/>
  <c r="C414" i="9"/>
  <c r="C415" i="9"/>
  <c r="C416" i="9"/>
  <c r="C417" i="9"/>
  <c r="C418" i="9"/>
  <c r="C419" i="9"/>
  <c r="C400" i="9"/>
  <c r="A400" i="9"/>
  <c r="F311" i="9"/>
  <c r="F312" i="9"/>
  <c r="F313" i="9"/>
  <c r="F314" i="9"/>
  <c r="F315" i="9"/>
  <c r="F316" i="9"/>
  <c r="F310" i="9"/>
  <c r="D310" i="9"/>
  <c r="A222" i="9"/>
  <c r="C410" i="9"/>
  <c r="A410" i="9"/>
  <c r="F317" i="9"/>
  <c r="F319" i="9"/>
  <c r="F320" i="9"/>
  <c r="F321" i="9"/>
  <c r="F322" i="9"/>
  <c r="F323" i="9"/>
  <c r="F324" i="9"/>
  <c r="F325" i="9"/>
  <c r="F326" i="9"/>
  <c r="F327" i="9"/>
  <c r="C421" i="9"/>
  <c r="C422" i="9"/>
  <c r="C423" i="9"/>
  <c r="C424" i="9"/>
  <c r="C425" i="9"/>
  <c r="C420" i="9"/>
  <c r="A420" i="9"/>
  <c r="A223" i="9"/>
  <c r="F329" i="9"/>
  <c r="F330" i="9"/>
  <c r="F328" i="9"/>
  <c r="D328" i="9"/>
  <c r="D330" i="9"/>
  <c r="F332" i="9"/>
  <c r="F331" i="9"/>
  <c r="D331" i="9"/>
  <c r="D317" i="9"/>
  <c r="F318" i="9"/>
  <c r="D318" i="9"/>
  <c r="C427" i="9"/>
  <c r="C428" i="9"/>
  <c r="C430" i="9"/>
  <c r="C431" i="9"/>
  <c r="C432" i="9"/>
  <c r="C433" i="9"/>
  <c r="C434" i="9"/>
  <c r="C435" i="9"/>
  <c r="C426" i="9"/>
  <c r="A426" i="9"/>
  <c r="A224" i="9"/>
  <c r="C429" i="9"/>
  <c r="A429" i="9"/>
  <c r="D332" i="9"/>
  <c r="F333" i="9"/>
  <c r="F334" i="9"/>
  <c r="F335" i="9"/>
  <c r="F336" i="9"/>
  <c r="F337" i="9"/>
  <c r="F338" i="9"/>
  <c r="F339" i="9"/>
  <c r="F340" i="9"/>
  <c r="F341" i="9"/>
  <c r="F342" i="9"/>
  <c r="C437" i="9"/>
  <c r="C438" i="9"/>
  <c r="C436" i="9"/>
  <c r="A436" i="9"/>
  <c r="A225" i="9"/>
  <c r="F345" i="9"/>
  <c r="F346" i="9"/>
  <c r="F347" i="9"/>
  <c r="F348" i="9"/>
  <c r="F349" i="9"/>
  <c r="F350" i="9"/>
  <c r="F351" i="9"/>
  <c r="F352" i="9"/>
  <c r="F353" i="9"/>
  <c r="F343" i="9"/>
  <c r="C440" i="9"/>
  <c r="C441" i="9"/>
  <c r="C443" i="9"/>
  <c r="C439" i="9"/>
  <c r="A439" i="9"/>
  <c r="A226" i="9"/>
  <c r="F355" i="9"/>
  <c r="F356" i="9"/>
  <c r="F357" i="9"/>
  <c r="F354" i="9"/>
  <c r="D354" i="9"/>
  <c r="C442" i="9"/>
  <c r="A442" i="9"/>
  <c r="F344" i="9"/>
  <c r="D344" i="9"/>
  <c r="D343" i="9"/>
  <c r="F358" i="9"/>
  <c r="F360" i="9"/>
  <c r="C445" i="9"/>
  <c r="C446" i="9"/>
  <c r="C447" i="9"/>
  <c r="A447" i="9"/>
  <c r="C444" i="9"/>
  <c r="A444" i="9"/>
  <c r="A227" i="9"/>
  <c r="F361" i="9"/>
  <c r="D360" i="9"/>
  <c r="F359" i="9"/>
  <c r="D359" i="9"/>
  <c r="D358" i="9"/>
  <c r="C448" i="9"/>
  <c r="C449" i="9"/>
  <c r="C450" i="9"/>
  <c r="C451" i="9"/>
  <c r="A228" i="9"/>
  <c r="D361" i="9"/>
  <c r="F362" i="9"/>
  <c r="F363" i="9"/>
  <c r="F364" i="9"/>
  <c r="F365" i="9"/>
  <c r="F366" i="9"/>
  <c r="F367" i="9"/>
  <c r="F368" i="9"/>
  <c r="C453" i="9"/>
  <c r="C454" i="9"/>
  <c r="C455" i="9"/>
  <c r="C456" i="9"/>
  <c r="C457" i="9"/>
  <c r="C459" i="9"/>
  <c r="C460" i="9"/>
  <c r="C461" i="9"/>
  <c r="C462" i="9"/>
  <c r="C463" i="9"/>
  <c r="C464" i="9"/>
  <c r="A464" i="9"/>
  <c r="C452" i="9"/>
  <c r="A452" i="9"/>
  <c r="A231" i="9"/>
  <c r="A229" i="9"/>
  <c r="F370" i="9"/>
  <c r="F369" i="9"/>
  <c r="D369" i="9"/>
  <c r="F371" i="9"/>
  <c r="F373" i="9"/>
  <c r="C458" i="9"/>
  <c r="A458" i="9"/>
  <c r="A230" i="9"/>
  <c r="D373" i="9"/>
  <c r="F374" i="9"/>
  <c r="F372" i="9"/>
  <c r="D372" i="9"/>
  <c r="D371" i="9"/>
  <c r="A232" i="9"/>
  <c r="D374" i="9"/>
  <c r="F375" i="9"/>
  <c r="F376" i="9"/>
  <c r="F377" i="9"/>
  <c r="F378" i="9"/>
  <c r="F379" i="9"/>
  <c r="F380" i="9"/>
  <c r="A233" i="9"/>
  <c r="F381" i="9"/>
  <c r="F383" i="9"/>
  <c r="F384" i="9"/>
  <c r="F385" i="9"/>
  <c r="F386" i="9"/>
  <c r="F387" i="9"/>
  <c r="F388" i="9"/>
  <c r="F389" i="9"/>
  <c r="F390" i="9"/>
  <c r="F391" i="9"/>
  <c r="F392" i="9"/>
  <c r="F393" i="9"/>
  <c r="A234" i="9"/>
  <c r="F394" i="9"/>
  <c r="D394" i="9"/>
  <c r="F395" i="9"/>
  <c r="F396" i="9"/>
  <c r="F397" i="9"/>
  <c r="D381" i="9"/>
  <c r="F382" i="9"/>
  <c r="D382" i="9"/>
  <c r="A235" i="9"/>
  <c r="F398" i="9"/>
  <c r="D398" i="9"/>
  <c r="F399" i="9"/>
  <c r="A236" i="9"/>
  <c r="F401" i="9"/>
  <c r="F402" i="9"/>
  <c r="F403" i="9"/>
  <c r="F404" i="9"/>
  <c r="F405" i="9"/>
  <c r="F406" i="9"/>
  <c r="F407" i="9"/>
  <c r="F408" i="9"/>
  <c r="F409" i="9"/>
  <c r="F400" i="9"/>
  <c r="D400" i="9"/>
  <c r="A237" i="9"/>
  <c r="F411" i="9"/>
  <c r="F412" i="9"/>
  <c r="F413" i="9"/>
  <c r="F414" i="9"/>
  <c r="F415" i="9"/>
  <c r="F416" i="9"/>
  <c r="F417" i="9"/>
  <c r="F418" i="9"/>
  <c r="F419" i="9"/>
  <c r="F410" i="9"/>
  <c r="D410" i="9"/>
  <c r="A239" i="9"/>
  <c r="F421" i="9"/>
  <c r="F422" i="9"/>
  <c r="F423" i="9"/>
  <c r="F424" i="9"/>
  <c r="F425" i="9"/>
  <c r="F420" i="9"/>
  <c r="D420" i="9"/>
  <c r="A240" i="9"/>
  <c r="F426" i="9"/>
  <c r="D426" i="9"/>
  <c r="F427" i="9"/>
  <c r="F428" i="9"/>
  <c r="A241" i="9"/>
  <c r="F430" i="9"/>
  <c r="F431" i="9"/>
  <c r="F432" i="9"/>
  <c r="F433" i="9"/>
  <c r="F434" i="9"/>
  <c r="F435" i="9"/>
  <c r="F429" i="9"/>
  <c r="D429" i="9"/>
  <c r="A242" i="9"/>
  <c r="F437" i="9"/>
  <c r="F438" i="9"/>
  <c r="F436" i="9"/>
  <c r="D436" i="9"/>
  <c r="A243" i="9"/>
  <c r="F440" i="9"/>
  <c r="F441" i="9"/>
  <c r="F439" i="9"/>
  <c r="D439" i="9"/>
  <c r="A244" i="9"/>
  <c r="F442" i="9"/>
  <c r="D442" i="9"/>
  <c r="F443" i="9"/>
  <c r="D215" i="9"/>
  <c r="A246" i="9"/>
  <c r="F445" i="9"/>
  <c r="F446" i="9"/>
  <c r="F447" i="9"/>
  <c r="F444" i="9"/>
  <c r="D444" i="9"/>
  <c r="D216" i="9"/>
  <c r="A247" i="9"/>
  <c r="D447" i="9"/>
  <c r="F448" i="9"/>
  <c r="F449" i="9"/>
  <c r="F450" i="9"/>
  <c r="F451" i="9"/>
  <c r="D217" i="9"/>
  <c r="A248" i="9"/>
  <c r="F453" i="9"/>
  <c r="F454" i="9"/>
  <c r="F455" i="9"/>
  <c r="F456" i="9"/>
  <c r="F457" i="9"/>
  <c r="F452" i="9"/>
  <c r="D452" i="9"/>
  <c r="D218" i="9"/>
  <c r="A249" i="9"/>
  <c r="F459" i="9"/>
  <c r="F460" i="9"/>
  <c r="F461" i="9"/>
  <c r="F462" i="9"/>
  <c r="F463" i="9"/>
  <c r="F464" i="9"/>
  <c r="F458" i="9"/>
  <c r="D458" i="9"/>
  <c r="D221" i="9"/>
  <c r="A250" i="9"/>
  <c r="D222" i="9"/>
  <c r="A251" i="9"/>
  <c r="D223" i="9"/>
  <c r="A252" i="9"/>
  <c r="D224" i="9"/>
  <c r="A253" i="9"/>
  <c r="D225" i="9"/>
  <c r="A254" i="9"/>
  <c r="A283" i="9"/>
  <c r="A282" i="9"/>
  <c r="D226" i="9"/>
  <c r="A255" i="9"/>
  <c r="D227" i="9"/>
  <c r="A256" i="9"/>
  <c r="D228" i="9"/>
  <c r="A257" i="9"/>
  <c r="D229" i="9"/>
  <c r="D231" i="9"/>
  <c r="A258" i="9"/>
  <c r="D230" i="9"/>
  <c r="A259" i="9"/>
  <c r="D232" i="9"/>
  <c r="A260" i="9"/>
  <c r="D233" i="9"/>
  <c r="A261" i="9"/>
  <c r="D234" i="9"/>
  <c r="D235" i="9"/>
  <c r="A264" i="9"/>
  <c r="D236" i="9"/>
  <c r="A265" i="9"/>
  <c r="D237" i="9"/>
  <c r="A266" i="9"/>
  <c r="D239" i="9"/>
  <c r="A268" i="9"/>
  <c r="D240" i="9"/>
  <c r="A270" i="9"/>
  <c r="D241" i="9"/>
  <c r="A271" i="9"/>
  <c r="D242" i="9"/>
  <c r="A272" i="9"/>
  <c r="D243" i="9"/>
  <c r="A274" i="9"/>
  <c r="D244" i="9"/>
  <c r="A275" i="9"/>
  <c r="D246" i="9"/>
  <c r="A276" i="9"/>
  <c r="D247" i="9"/>
  <c r="A279" i="9"/>
  <c r="A277" i="9"/>
  <c r="D248" i="9"/>
  <c r="A278" i="9"/>
  <c r="D249" i="9"/>
  <c r="A280" i="9"/>
  <c r="D250" i="9"/>
  <c r="A281" i="9"/>
  <c r="D251" i="9"/>
  <c r="A284" i="9"/>
  <c r="D252" i="9"/>
  <c r="A285" i="9"/>
  <c r="D253" i="9"/>
  <c r="A286" i="9"/>
  <c r="D254" i="9"/>
  <c r="A288" i="9"/>
  <c r="D255" i="9"/>
  <c r="A289" i="9"/>
  <c r="C7" i="18"/>
  <c r="A7" i="18"/>
  <c r="D256" i="9"/>
  <c r="A291" i="9"/>
  <c r="D257" i="9"/>
  <c r="A292" i="9"/>
  <c r="D258" i="9"/>
  <c r="A294" i="9"/>
  <c r="D259" i="9"/>
  <c r="A295" i="9"/>
  <c r="D260" i="9"/>
  <c r="A296" i="9"/>
  <c r="D261" i="9"/>
  <c r="A297" i="9"/>
  <c r="D262" i="9"/>
  <c r="A299" i="9"/>
  <c r="D264" i="9"/>
  <c r="A300" i="9"/>
  <c r="D265" i="9"/>
  <c r="A301" i="9"/>
  <c r="D266" i="9"/>
  <c r="A302" i="9"/>
  <c r="D268" i="9"/>
  <c r="A303" i="9"/>
  <c r="D270" i="9"/>
  <c r="A304" i="9"/>
  <c r="D271" i="9"/>
  <c r="A305" i="9"/>
  <c r="D272" i="9"/>
  <c r="A306" i="9"/>
  <c r="D274" i="9"/>
  <c r="A307" i="9"/>
  <c r="D275" i="9"/>
  <c r="A308" i="9"/>
  <c r="D276" i="9"/>
  <c r="A309" i="9"/>
  <c r="D279" i="9"/>
  <c r="D277" i="9"/>
  <c r="A311" i="9"/>
  <c r="D278" i="9"/>
  <c r="A312" i="9"/>
  <c r="D280" i="9"/>
  <c r="A313" i="9"/>
  <c r="D282" i="9"/>
  <c r="D283" i="9"/>
  <c r="D281" i="9"/>
  <c r="A314" i="9"/>
  <c r="D284" i="9"/>
  <c r="C8" i="18"/>
  <c r="A8" i="18"/>
  <c r="A315" i="9"/>
  <c r="D285" i="9"/>
  <c r="A320" i="9"/>
  <c r="A316" i="9"/>
  <c r="D286" i="9"/>
  <c r="A319" i="9"/>
  <c r="C9" i="18"/>
  <c r="A9" i="18"/>
  <c r="D288" i="9"/>
  <c r="A321" i="9"/>
  <c r="D289" i="9"/>
  <c r="F7" i="18"/>
  <c r="D7" i="18"/>
  <c r="A322" i="9"/>
  <c r="D291" i="9"/>
  <c r="A323" i="9"/>
  <c r="D292" i="9"/>
  <c r="A324" i="9"/>
  <c r="D294" i="9"/>
  <c r="A325" i="9"/>
  <c r="D295" i="9"/>
  <c r="A326" i="9"/>
  <c r="D296" i="9"/>
  <c r="A327" i="9"/>
  <c r="D297" i="9"/>
  <c r="A329" i="9"/>
  <c r="D299" i="9"/>
  <c r="A333" i="9"/>
  <c r="D300" i="9"/>
  <c r="A334" i="9"/>
  <c r="D301" i="9"/>
  <c r="A335" i="9"/>
  <c r="D302" i="9"/>
  <c r="A336" i="9"/>
  <c r="D303" i="9"/>
  <c r="A337" i="9"/>
  <c r="D304" i="9"/>
  <c r="A338" i="9"/>
  <c r="D305" i="9"/>
  <c r="A339" i="9"/>
  <c r="D306" i="9"/>
  <c r="A340" i="9"/>
  <c r="D307" i="9"/>
  <c r="A341" i="9"/>
  <c r="D308" i="9"/>
  <c r="A346" i="9"/>
  <c r="A342" i="9"/>
  <c r="D309" i="9"/>
  <c r="A345" i="9"/>
  <c r="C10" i="18"/>
  <c r="D311" i="9"/>
  <c r="A347" i="9"/>
  <c r="A10" i="18"/>
  <c r="C11" i="18"/>
  <c r="D312" i="9"/>
  <c r="A11" i="18"/>
  <c r="A348" i="9"/>
  <c r="C12" i="18"/>
  <c r="A12" i="18"/>
  <c r="D313" i="9"/>
  <c r="A349" i="9"/>
  <c r="D314" i="9"/>
  <c r="A350" i="9"/>
  <c r="D315" i="9"/>
  <c r="A351" i="9"/>
  <c r="D316" i="9"/>
  <c r="D320" i="9"/>
  <c r="F8" i="18"/>
  <c r="D8" i="18"/>
  <c r="A352" i="9"/>
  <c r="D319" i="9"/>
  <c r="F9" i="18"/>
  <c r="A353" i="9"/>
  <c r="D9" i="18"/>
  <c r="D321" i="9"/>
  <c r="A355" i="9"/>
  <c r="D322" i="9"/>
  <c r="A356" i="9"/>
  <c r="D323" i="9"/>
  <c r="A357" i="9"/>
  <c r="D324" i="9"/>
  <c r="D325" i="9"/>
  <c r="A362" i="9"/>
  <c r="D326" i="9"/>
  <c r="A363" i="9"/>
  <c r="D327" i="9"/>
  <c r="A364" i="9"/>
  <c r="D329" i="9"/>
  <c r="A365" i="9"/>
  <c r="D333" i="9"/>
  <c r="A366" i="9"/>
  <c r="D334" i="9"/>
  <c r="A367" i="9"/>
  <c r="D335" i="9"/>
  <c r="A368" i="9"/>
  <c r="D336" i="9"/>
  <c r="A370" i="9"/>
  <c r="D337" i="9"/>
  <c r="D338" i="9"/>
  <c r="A375" i="9"/>
  <c r="D339" i="9"/>
  <c r="A376" i="9"/>
  <c r="D340" i="9"/>
  <c r="A377" i="9"/>
  <c r="D341" i="9"/>
  <c r="A378" i="9"/>
  <c r="D346" i="9"/>
  <c r="D342" i="9"/>
  <c r="F10" i="18"/>
  <c r="A379" i="9"/>
  <c r="D10" i="18"/>
  <c r="F11" i="18"/>
  <c r="D11" i="18"/>
  <c r="D345" i="9"/>
  <c r="F12" i="18"/>
  <c r="D12" i="18"/>
  <c r="A380" i="9"/>
  <c r="D347" i="9"/>
  <c r="A383" i="9"/>
  <c r="D348" i="9"/>
  <c r="A384" i="9"/>
  <c r="D349" i="9"/>
  <c r="A385" i="9"/>
  <c r="D350" i="9"/>
  <c r="A386" i="9"/>
  <c r="D351" i="9"/>
  <c r="A387" i="9"/>
  <c r="D352" i="9"/>
  <c r="A388" i="9"/>
  <c r="D353" i="9"/>
  <c r="A389" i="9"/>
  <c r="D355" i="9"/>
  <c r="A390" i="9"/>
  <c r="D356" i="9"/>
  <c r="A391" i="9"/>
  <c r="D357" i="9"/>
  <c r="A392" i="9"/>
  <c r="A393" i="9"/>
  <c r="D362" i="9"/>
  <c r="A395" i="9"/>
  <c r="M45" i="9"/>
  <c r="N45" i="9"/>
  <c r="M387" i="9"/>
  <c r="N387" i="9"/>
  <c r="M256" i="9"/>
  <c r="N256" i="9"/>
  <c r="M168" i="9"/>
  <c r="N168" i="9"/>
  <c r="D363" i="9"/>
  <c r="A396" i="9"/>
  <c r="K45" i="9"/>
  <c r="O45" i="9"/>
  <c r="K46" i="9"/>
  <c r="O46" i="9"/>
  <c r="L46" i="9"/>
  <c r="M86" i="9"/>
  <c r="N86" i="9"/>
  <c r="D364" i="9"/>
  <c r="A397" i="9"/>
  <c r="M41" i="9"/>
  <c r="N41" i="9"/>
  <c r="N340" i="9"/>
  <c r="M365" i="9"/>
  <c r="N365" i="9"/>
  <c r="N422" i="9"/>
  <c r="K420" i="9"/>
  <c r="O420" i="9"/>
  <c r="N339" i="9"/>
  <c r="N187" i="9"/>
  <c r="M19" i="9"/>
  <c r="N19" i="9"/>
  <c r="N338" i="9"/>
  <c r="N412" i="9"/>
  <c r="K410" i="9"/>
  <c r="M68" i="9"/>
  <c r="N68" i="9"/>
  <c r="K66" i="9"/>
  <c r="O66" i="9"/>
  <c r="N185" i="9"/>
  <c r="M31" i="9"/>
  <c r="N31" i="9"/>
  <c r="M367" i="9"/>
  <c r="N367" i="9"/>
  <c r="N226" i="9"/>
  <c r="N342" i="9"/>
  <c r="N63" i="9"/>
  <c r="K83" i="9"/>
  <c r="O83" i="9"/>
  <c r="K84" i="9"/>
  <c r="O410" i="9"/>
  <c r="O90" i="9"/>
  <c r="K90" i="9"/>
  <c r="K344" i="9"/>
  <c r="K343" i="9"/>
  <c r="M399" i="9"/>
  <c r="N399" i="9"/>
  <c r="L45" i="9"/>
  <c r="M268" i="9"/>
  <c r="N268" i="9"/>
  <c r="M180" i="9"/>
  <c r="N180" i="9"/>
  <c r="M224" i="9"/>
  <c r="N224" i="9"/>
  <c r="M155" i="9"/>
  <c r="N155" i="9"/>
  <c r="M92" i="9"/>
  <c r="N92" i="9"/>
  <c r="M313" i="9"/>
  <c r="N313" i="9"/>
  <c r="M117" i="9"/>
  <c r="N117" i="9"/>
  <c r="M312" i="9"/>
  <c r="N312" i="9"/>
  <c r="M116" i="9"/>
  <c r="N116" i="9"/>
  <c r="M316" i="9"/>
  <c r="N316" i="9"/>
  <c r="M120" i="9"/>
  <c r="N120" i="9"/>
  <c r="M118" i="9"/>
  <c r="N118" i="9"/>
  <c r="M314" i="9"/>
  <c r="N314" i="9"/>
  <c r="K37" i="9"/>
  <c r="O37" i="9"/>
  <c r="O209" i="9"/>
  <c r="M213" i="9"/>
  <c r="N213" i="9"/>
  <c r="D365" i="9"/>
  <c r="K364" i="9"/>
  <c r="K184" i="9"/>
  <c r="A399" i="9"/>
  <c r="K367" i="9"/>
  <c r="K187" i="9"/>
  <c r="O187" i="9"/>
  <c r="K365" i="9"/>
  <c r="K29" i="9"/>
  <c r="K30" i="9"/>
  <c r="K32" i="9"/>
  <c r="K31" i="9"/>
  <c r="O31" i="9"/>
  <c r="K185" i="9"/>
  <c r="O185" i="9"/>
  <c r="K366" i="9"/>
  <c r="K182" i="9"/>
  <c r="O182" i="9"/>
  <c r="K64" i="9"/>
  <c r="K65" i="9"/>
  <c r="K67" i="9"/>
  <c r="K68" i="9"/>
  <c r="K186" i="9"/>
  <c r="O186" i="9"/>
  <c r="K368" i="9"/>
  <c r="K62" i="9"/>
  <c r="K61" i="9"/>
  <c r="O61" i="9"/>
  <c r="K63" i="9"/>
  <c r="K421" i="9"/>
  <c r="K423" i="9"/>
  <c r="K416" i="9"/>
  <c r="O416" i="9"/>
  <c r="K422" i="9"/>
  <c r="K418" i="9"/>
  <c r="K419" i="9"/>
  <c r="K425" i="9"/>
  <c r="K424" i="9"/>
  <c r="K417" i="9"/>
  <c r="K188" i="9"/>
  <c r="O188" i="9"/>
  <c r="K362" i="9"/>
  <c r="D25" i="12"/>
  <c r="K150" i="9"/>
  <c r="K219" i="9"/>
  <c r="O84" i="9"/>
  <c r="K151" i="9"/>
  <c r="K220" i="9"/>
  <c r="O219" i="9"/>
  <c r="O150" i="9"/>
  <c r="O343" i="9"/>
  <c r="K121" i="9"/>
  <c r="K317" i="9"/>
  <c r="K122" i="9"/>
  <c r="K318" i="9"/>
  <c r="O344" i="9"/>
  <c r="M8" i="9"/>
  <c r="N8" i="9"/>
  <c r="K346" i="9"/>
  <c r="K320" i="9"/>
  <c r="K86" i="9"/>
  <c r="K80" i="9"/>
  <c r="K81" i="9"/>
  <c r="K79" i="9"/>
  <c r="K82" i="9"/>
  <c r="K85" i="9"/>
  <c r="O419" i="9"/>
  <c r="O423" i="9"/>
  <c r="O425" i="9"/>
  <c r="O417" i="9"/>
  <c r="O418" i="9"/>
  <c r="O421" i="9"/>
  <c r="O424" i="9"/>
  <c r="O422" i="9"/>
  <c r="O284" i="9"/>
  <c r="O366" i="9"/>
  <c r="O365" i="9"/>
  <c r="O283" i="9"/>
  <c r="O286" i="9"/>
  <c r="O282" i="9"/>
  <c r="O368" i="9"/>
  <c r="O362" i="9"/>
  <c r="O367" i="9"/>
  <c r="O184" i="9"/>
  <c r="O285" i="9"/>
  <c r="O29" i="9"/>
  <c r="O68" i="9"/>
  <c r="O63" i="9"/>
  <c r="O64" i="9"/>
  <c r="O62" i="9"/>
  <c r="O67" i="9"/>
  <c r="O32" i="9"/>
  <c r="O65" i="9"/>
  <c r="O30" i="9"/>
  <c r="K411" i="9"/>
  <c r="K414" i="9"/>
  <c r="K409" i="9"/>
  <c r="K415" i="9"/>
  <c r="K412" i="9"/>
  <c r="K413" i="9"/>
  <c r="K348" i="9"/>
  <c r="K36" i="9"/>
  <c r="O36" i="9"/>
  <c r="O208" i="9"/>
  <c r="K345" i="9"/>
  <c r="K341" i="9"/>
  <c r="K340" i="9"/>
  <c r="K337" i="9"/>
  <c r="K342" i="9"/>
  <c r="K339" i="9"/>
  <c r="K347" i="9"/>
  <c r="K338" i="9"/>
  <c r="K39" i="9"/>
  <c r="K35" i="9"/>
  <c r="K38" i="9"/>
  <c r="O38" i="9"/>
  <c r="O210" i="9"/>
  <c r="K41" i="9"/>
  <c r="O41" i="9"/>
  <c r="O213" i="9"/>
  <c r="K40" i="9"/>
  <c r="O40" i="9"/>
  <c r="O212" i="9"/>
  <c r="K34" i="9"/>
  <c r="K209" i="9"/>
  <c r="D366" i="9"/>
  <c r="A401" i="9"/>
  <c r="L420" i="9"/>
  <c r="O122" i="9"/>
  <c r="O318" i="9"/>
  <c r="O121" i="9"/>
  <c r="O317" i="9"/>
  <c r="K5" i="9"/>
  <c r="O5" i="9"/>
  <c r="K14" i="9"/>
  <c r="L419" i="9"/>
  <c r="M257" i="9"/>
  <c r="N257" i="9"/>
  <c r="M388" i="9"/>
  <c r="N388" i="9"/>
  <c r="M169" i="9"/>
  <c r="N169" i="9"/>
  <c r="O464" i="9"/>
  <c r="L458" i="9"/>
  <c r="O346" i="9"/>
  <c r="K124" i="9"/>
  <c r="O124" i="9"/>
  <c r="O320" i="9"/>
  <c r="K321" i="9"/>
  <c r="K125" i="9"/>
  <c r="O347" i="9"/>
  <c r="K316" i="9"/>
  <c r="K120" i="9"/>
  <c r="O342" i="9"/>
  <c r="O345" i="9"/>
  <c r="K319" i="9"/>
  <c r="K123" i="9"/>
  <c r="O339" i="9"/>
  <c r="L339" i="9"/>
  <c r="K313" i="9"/>
  <c r="K117" i="9"/>
  <c r="O337" i="9"/>
  <c r="K115" i="9"/>
  <c r="O115" i="9"/>
  <c r="K314" i="9"/>
  <c r="K118" i="9"/>
  <c r="O340" i="9"/>
  <c r="K322" i="9"/>
  <c r="O348" i="9"/>
  <c r="K126" i="9"/>
  <c r="K312" i="9"/>
  <c r="K116" i="9"/>
  <c r="O116" i="9"/>
  <c r="O338" i="9"/>
  <c r="K315" i="9"/>
  <c r="O341" i="9"/>
  <c r="K119" i="9"/>
  <c r="L184" i="9"/>
  <c r="L364" i="9"/>
  <c r="O364" i="9"/>
  <c r="L424" i="9"/>
  <c r="L418" i="9"/>
  <c r="L423" i="9"/>
  <c r="L416" i="9"/>
  <c r="L63" i="9"/>
  <c r="L196" i="9"/>
  <c r="L282" i="9"/>
  <c r="L422" i="9"/>
  <c r="L421" i="9"/>
  <c r="L417" i="9"/>
  <c r="L200" i="9"/>
  <c r="L286" i="9"/>
  <c r="L188" i="9"/>
  <c r="L368" i="9"/>
  <c r="L198" i="9"/>
  <c r="L284" i="9"/>
  <c r="L197" i="9"/>
  <c r="L283" i="9"/>
  <c r="L199" i="9"/>
  <c r="L285" i="9"/>
  <c r="L185" i="9"/>
  <c r="L365" i="9"/>
  <c r="L187" i="9"/>
  <c r="L367" i="9"/>
  <c r="L186" i="9"/>
  <c r="L366" i="9"/>
  <c r="L182" i="9"/>
  <c r="L362" i="9"/>
  <c r="L363" i="9"/>
  <c r="L31" i="9"/>
  <c r="L61" i="9"/>
  <c r="L68" i="9"/>
  <c r="L32" i="9"/>
  <c r="L62" i="9"/>
  <c r="L29" i="9"/>
  <c r="O34" i="9"/>
  <c r="O206" i="9"/>
  <c r="L67" i="9"/>
  <c r="O39" i="9"/>
  <c r="O211" i="9"/>
  <c r="O409" i="9"/>
  <c r="O89" i="9"/>
  <c r="O415" i="9"/>
  <c r="O95" i="9"/>
  <c r="L64" i="9"/>
  <c r="O413" i="9"/>
  <c r="O93" i="9"/>
  <c r="O414" i="9"/>
  <c r="O94" i="9"/>
  <c r="L30" i="9"/>
  <c r="O35" i="9"/>
  <c r="O207" i="9"/>
  <c r="O412" i="9"/>
  <c r="O92" i="9"/>
  <c r="O411" i="9"/>
  <c r="O91" i="9"/>
  <c r="K211" i="9"/>
  <c r="K93" i="9"/>
  <c r="K94" i="9"/>
  <c r="K95" i="9"/>
  <c r="K89" i="9"/>
  <c r="K92" i="9"/>
  <c r="K91" i="9"/>
  <c r="K208" i="9"/>
  <c r="K311" i="9"/>
  <c r="K212" i="9"/>
  <c r="K213" i="9"/>
  <c r="K210" i="9"/>
  <c r="K206" i="9"/>
  <c r="K207" i="9"/>
  <c r="D367" i="9"/>
  <c r="AD11" i="2"/>
  <c r="A402" i="9"/>
  <c r="L313" i="9"/>
  <c r="L117" i="9"/>
  <c r="L461" i="9"/>
  <c r="L462" i="9"/>
  <c r="L464" i="9"/>
  <c r="L457" i="9"/>
  <c r="L459" i="9"/>
  <c r="L460" i="9"/>
  <c r="L456" i="9"/>
  <c r="L344" i="9"/>
  <c r="L343" i="9"/>
  <c r="O14" i="9"/>
  <c r="K263" i="9"/>
  <c r="K394" i="9"/>
  <c r="K175" i="9"/>
  <c r="L338" i="9"/>
  <c r="L312" i="9"/>
  <c r="L345" i="9"/>
  <c r="L123" i="9"/>
  <c r="L337" i="9"/>
  <c r="L311" i="9"/>
  <c r="L346" i="9"/>
  <c r="L342" i="9"/>
  <c r="L316" i="9"/>
  <c r="L347" i="9"/>
  <c r="L340" i="9"/>
  <c r="L348" i="9"/>
  <c r="L341" i="9"/>
  <c r="L36" i="9"/>
  <c r="L455" i="9"/>
  <c r="O312" i="9"/>
  <c r="O311" i="9"/>
  <c r="L35" i="9"/>
  <c r="O118" i="9"/>
  <c r="O123" i="9"/>
  <c r="O125" i="9"/>
  <c r="O120" i="9"/>
  <c r="O126" i="9"/>
  <c r="O117" i="9"/>
  <c r="O119" i="9"/>
  <c r="L412" i="9"/>
  <c r="L92" i="9"/>
  <c r="L34" i="9"/>
  <c r="L39" i="9"/>
  <c r="L38" i="9"/>
  <c r="L413" i="9"/>
  <c r="L93" i="9"/>
  <c r="L37" i="9"/>
  <c r="L411" i="9"/>
  <c r="L91" i="9"/>
  <c r="L41" i="9"/>
  <c r="L40" i="9"/>
  <c r="L414" i="9"/>
  <c r="L94" i="9"/>
  <c r="D368" i="9"/>
  <c r="A403" i="9"/>
  <c r="L317" i="9"/>
  <c r="L121" i="9"/>
  <c r="L318" i="9"/>
  <c r="L122" i="9"/>
  <c r="O175" i="9"/>
  <c r="O263" i="9"/>
  <c r="O394" i="9"/>
  <c r="L116" i="9"/>
  <c r="L319" i="9"/>
  <c r="L124" i="9"/>
  <c r="L320" i="9"/>
  <c r="L115" i="9"/>
  <c r="L120" i="9"/>
  <c r="L314" i="9"/>
  <c r="L118" i="9"/>
  <c r="L321" i="9"/>
  <c r="L125" i="9"/>
  <c r="L208" i="9"/>
  <c r="L119" i="9"/>
  <c r="L315" i="9"/>
  <c r="L126" i="9"/>
  <c r="L322" i="9"/>
  <c r="O316" i="9"/>
  <c r="O315" i="9"/>
  <c r="O321" i="9"/>
  <c r="O313" i="9"/>
  <c r="O319" i="9"/>
  <c r="O322" i="9"/>
  <c r="O314" i="9"/>
  <c r="L212" i="9"/>
  <c r="L213" i="9"/>
  <c r="L207" i="9"/>
  <c r="L206" i="9"/>
  <c r="L210" i="9"/>
  <c r="L209" i="9"/>
  <c r="L211" i="9"/>
  <c r="D370" i="9"/>
  <c r="A406" i="9"/>
  <c r="A404" i="9"/>
  <c r="A405" i="9"/>
  <c r="D375" i="9"/>
  <c r="A407" i="9"/>
  <c r="D376" i="9"/>
  <c r="A408" i="9"/>
  <c r="D377" i="9"/>
  <c r="A409" i="9"/>
  <c r="D378" i="9"/>
  <c r="A411" i="9"/>
  <c r="D379" i="9"/>
  <c r="A412" i="9"/>
  <c r="D380" i="9"/>
  <c r="A413" i="9"/>
  <c r="D383" i="9"/>
  <c r="A414" i="9"/>
  <c r="D384" i="9"/>
  <c r="A415" i="9"/>
  <c r="D385" i="9"/>
  <c r="A416" i="9"/>
  <c r="D386" i="9"/>
  <c r="A417" i="9"/>
  <c r="D387" i="9"/>
  <c r="A418" i="9"/>
  <c r="D388" i="9"/>
  <c r="A419" i="9"/>
  <c r="D389" i="9"/>
  <c r="A421" i="9"/>
  <c r="D390" i="9"/>
  <c r="A422" i="9"/>
  <c r="D391" i="9"/>
  <c r="A423" i="9"/>
  <c r="D392" i="9"/>
  <c r="A424" i="9"/>
  <c r="D393" i="9"/>
  <c r="A425" i="9"/>
  <c r="D395" i="9"/>
  <c r="A427" i="9"/>
  <c r="D396" i="9"/>
  <c r="A428" i="9"/>
  <c r="D397" i="9"/>
  <c r="A430" i="9"/>
  <c r="D399" i="9"/>
  <c r="A431" i="9"/>
  <c r="D401" i="9"/>
  <c r="A432" i="9"/>
  <c r="D402" i="9"/>
  <c r="A433" i="9"/>
  <c r="D403" i="9"/>
  <c r="A434" i="9"/>
  <c r="D404" i="9"/>
  <c r="D406" i="9"/>
  <c r="A435" i="9"/>
  <c r="D405" i="9"/>
  <c r="A437" i="9"/>
  <c r="D407" i="9"/>
  <c r="A438" i="9"/>
  <c r="D408" i="9"/>
  <c r="A440" i="9"/>
  <c r="D409" i="9"/>
  <c r="A441" i="9"/>
  <c r="D411" i="9"/>
  <c r="A443" i="9"/>
  <c r="D412" i="9"/>
  <c r="A445" i="9"/>
  <c r="D413" i="9"/>
  <c r="A446" i="9"/>
  <c r="D414" i="9"/>
  <c r="AF11" i="2"/>
  <c r="D415" i="9"/>
  <c r="A448" i="9"/>
  <c r="D416" i="9"/>
  <c r="A449" i="9"/>
  <c r="D417" i="9"/>
  <c r="A450" i="9"/>
  <c r="D418" i="9"/>
  <c r="A451" i="9"/>
  <c r="D419" i="9"/>
  <c r="A453" i="9"/>
  <c r="D421" i="9"/>
  <c r="A454" i="9"/>
  <c r="D422" i="9"/>
  <c r="A455" i="9"/>
  <c r="D423" i="9"/>
  <c r="A456" i="9"/>
  <c r="D424" i="9"/>
  <c r="A457" i="9"/>
  <c r="D425" i="9"/>
  <c r="A459" i="9"/>
  <c r="D427" i="9"/>
  <c r="A460" i="9"/>
  <c r="D428" i="9"/>
  <c r="A461" i="9"/>
  <c r="D430" i="9"/>
  <c r="A462" i="9"/>
  <c r="D431" i="9"/>
  <c r="A463" i="9"/>
  <c r="D432" i="9"/>
  <c r="AE11" i="2"/>
  <c r="D433" i="9"/>
  <c r="D434" i="9"/>
  <c r="D435" i="9"/>
  <c r="D437" i="9"/>
  <c r="D438" i="9"/>
  <c r="D440" i="9"/>
  <c r="K292" i="9"/>
  <c r="O292" i="9"/>
  <c r="D441" i="9"/>
  <c r="K435" i="9"/>
  <c r="K291" i="9"/>
  <c r="K289" i="9"/>
  <c r="O289" i="9"/>
  <c r="K288" i="9"/>
  <c r="O435" i="9"/>
  <c r="O288" i="9"/>
  <c r="O291" i="9"/>
  <c r="K88" i="9"/>
  <c r="O80" i="9"/>
  <c r="O216" i="9"/>
  <c r="K87" i="9"/>
  <c r="O86" i="9"/>
  <c r="O224" i="9"/>
  <c r="D443" i="9"/>
  <c r="K437" i="9"/>
  <c r="K434" i="9"/>
  <c r="K438" i="9"/>
  <c r="K440" i="9"/>
  <c r="O440" i="9"/>
  <c r="K441" i="9"/>
  <c r="O441" i="9"/>
  <c r="K443" i="9"/>
  <c r="K227" i="9"/>
  <c r="O227" i="9"/>
  <c r="K226" i="9"/>
  <c r="O226" i="9"/>
  <c r="K225" i="9"/>
  <c r="L292" i="9"/>
  <c r="L290" i="9"/>
  <c r="O225" i="9"/>
  <c r="L225" i="9"/>
  <c r="O85" i="9"/>
  <c r="O221" i="9"/>
  <c r="O82" i="9"/>
  <c r="O81" i="9"/>
  <c r="O217" i="9"/>
  <c r="O79" i="9"/>
  <c r="O438" i="9"/>
  <c r="O443" i="9"/>
  <c r="L440" i="9"/>
  <c r="O434" i="9"/>
  <c r="O437" i="9"/>
  <c r="L289" i="9"/>
  <c r="L291" i="9"/>
  <c r="L288" i="9"/>
  <c r="O88" i="9"/>
  <c r="O223" i="9"/>
  <c r="O87" i="9"/>
  <c r="O222" i="9"/>
  <c r="K218" i="9"/>
  <c r="K222" i="9"/>
  <c r="K217" i="9"/>
  <c r="K216" i="9"/>
  <c r="K221" i="9"/>
  <c r="K223" i="9"/>
  <c r="K224" i="9"/>
  <c r="K155" i="9"/>
  <c r="K149" i="9"/>
  <c r="K147" i="9"/>
  <c r="K154" i="9"/>
  <c r="K153" i="9"/>
  <c r="K148" i="9"/>
  <c r="K215" i="9"/>
  <c r="K146" i="9"/>
  <c r="K152" i="9"/>
  <c r="D445" i="9"/>
  <c r="O218" i="9"/>
  <c r="L437" i="9"/>
  <c r="L442" i="9"/>
  <c r="L436" i="9"/>
  <c r="O215" i="9"/>
  <c r="L83" i="9"/>
  <c r="L85" i="9"/>
  <c r="O146" i="9"/>
  <c r="L226" i="9"/>
  <c r="L435" i="9"/>
  <c r="L227" i="9"/>
  <c r="L441" i="9"/>
  <c r="L443" i="9"/>
  <c r="L434" i="9"/>
  <c r="L438" i="9"/>
  <c r="O149" i="9"/>
  <c r="O155" i="9"/>
  <c r="O148" i="9"/>
  <c r="L87" i="9"/>
  <c r="O153" i="9"/>
  <c r="O147" i="9"/>
  <c r="L88" i="9"/>
  <c r="O154" i="9"/>
  <c r="D446" i="9"/>
  <c r="O151" i="9"/>
  <c r="O220" i="9"/>
  <c r="L84" i="9"/>
  <c r="L219" i="9"/>
  <c r="L150" i="9"/>
  <c r="L223" i="9"/>
  <c r="L154" i="9"/>
  <c r="L222" i="9"/>
  <c r="L153" i="9"/>
  <c r="L220" i="9"/>
  <c r="L151" i="9"/>
  <c r="D448" i="9"/>
  <c r="D449" i="9"/>
  <c r="D450" i="9"/>
  <c r="D451" i="9"/>
  <c r="D453" i="9"/>
  <c r="D454" i="9"/>
  <c r="D455" i="9"/>
  <c r="D456" i="9"/>
  <c r="D457" i="9"/>
  <c r="D464" i="9"/>
  <c r="D459" i="9"/>
  <c r="D460" i="9"/>
  <c r="D461" i="9"/>
  <c r="D462" i="9"/>
  <c r="D463" i="9"/>
  <c r="AG11" i="2"/>
  <c r="K19" i="2"/>
  <c r="K17" i="2"/>
  <c r="K25" i="2"/>
  <c r="P25" i="2"/>
  <c r="K18" i="2"/>
  <c r="K15" i="2"/>
  <c r="K12" i="2"/>
  <c r="K26" i="2"/>
  <c r="P26" i="2"/>
  <c r="K10" i="2"/>
  <c r="K9" i="2"/>
  <c r="K21" i="2"/>
  <c r="K23" i="2"/>
  <c r="K16" i="2"/>
  <c r="K20" i="2"/>
  <c r="K13" i="2"/>
  <c r="K14" i="2"/>
  <c r="K27" i="2"/>
  <c r="P27" i="2"/>
  <c r="K11" i="2"/>
  <c r="K22" i="2"/>
  <c r="K24" i="2"/>
  <c r="K28" i="2"/>
  <c r="P28" i="2"/>
  <c r="M28" i="2"/>
  <c r="W28" i="2"/>
  <c r="M27" i="2"/>
  <c r="W27" i="2"/>
  <c r="M26" i="2"/>
  <c r="W26" i="2"/>
  <c r="M25" i="2"/>
  <c r="W25" i="2"/>
  <c r="Z11" i="2" a="1"/>
  <c r="Z11" i="2"/>
  <c r="X11" i="2"/>
  <c r="N11" i="2"/>
  <c r="N20" i="2"/>
  <c r="Z20" i="2" a="1"/>
  <c r="Z20" i="2"/>
  <c r="V20" i="2"/>
  <c r="Q28" i="2"/>
  <c r="V28" i="2"/>
  <c r="N28" i="2"/>
  <c r="X28" i="2"/>
  <c r="Y28" i="2" a="1"/>
  <c r="Y28" i="2"/>
  <c r="O28" i="2"/>
  <c r="T28" i="2"/>
  <c r="Z28" i="2" a="1"/>
  <c r="Z28" i="2"/>
  <c r="U28" i="2"/>
  <c r="S28" i="2"/>
  <c r="Q27" i="2"/>
  <c r="T27" i="2"/>
  <c r="Z27" i="2" a="1"/>
  <c r="Z27" i="2"/>
  <c r="S27" i="2"/>
  <c r="O27" i="2"/>
  <c r="N27" i="2"/>
  <c r="U27" i="2"/>
  <c r="X27" i="2"/>
  <c r="Y27" i="2" a="1"/>
  <c r="Y27" i="2"/>
  <c r="V27" i="2"/>
  <c r="N16" i="2"/>
  <c r="Z16" i="2" a="1"/>
  <c r="Z16" i="2"/>
  <c r="T16" i="2"/>
  <c r="N18" i="2"/>
  <c r="Z18" i="2" a="1"/>
  <c r="Z18" i="2"/>
  <c r="T18" i="2"/>
  <c r="Z24" i="2" a="1"/>
  <c r="Z24" i="2"/>
  <c r="W24" i="2"/>
  <c r="N24" i="2"/>
  <c r="N14" i="2"/>
  <c r="Z14" i="2" a="1"/>
  <c r="Z14" i="2"/>
  <c r="X14" i="2"/>
  <c r="Z23" i="2" a="1"/>
  <c r="Z23" i="2"/>
  <c r="V23" i="2"/>
  <c r="N23" i="2"/>
  <c r="Q26" i="2"/>
  <c r="Z26" i="2" a="1"/>
  <c r="Z26" i="2"/>
  <c r="U26" i="2"/>
  <c r="T26" i="2"/>
  <c r="V26" i="2"/>
  <c r="N26" i="2"/>
  <c r="S26" i="2"/>
  <c r="O26" i="2"/>
  <c r="X26" i="2"/>
  <c r="Y26" i="2" a="1"/>
  <c r="Y26" i="2"/>
  <c r="Q25" i="2"/>
  <c r="U25" i="2"/>
  <c r="S25" i="2"/>
  <c r="N25" i="2"/>
  <c r="T25" i="2"/>
  <c r="O25" i="2"/>
  <c r="X25" i="2"/>
  <c r="Y25" i="2" a="1"/>
  <c r="Y25" i="2"/>
  <c r="V25" i="2"/>
  <c r="Z25" i="2" a="1"/>
  <c r="Z25" i="2"/>
  <c r="Z10" i="2" a="1"/>
  <c r="Z10" i="2"/>
  <c r="X10" i="2"/>
  <c r="N10" i="2"/>
  <c r="Z22" i="2" a="1"/>
  <c r="Z22" i="2"/>
  <c r="T22" i="2"/>
  <c r="N22" i="2"/>
  <c r="N13" i="2"/>
  <c r="Z13" i="2" a="1"/>
  <c r="Z13" i="2"/>
  <c r="T13" i="2"/>
  <c r="N21" i="2"/>
  <c r="Z21" i="2" a="1"/>
  <c r="Z21" i="2"/>
  <c r="T21" i="2"/>
  <c r="N12" i="2"/>
  <c r="Z12" i="2" a="1"/>
  <c r="Z12" i="2"/>
  <c r="X12" i="2"/>
  <c r="N17" i="2"/>
  <c r="Z17" i="2" a="1"/>
  <c r="Z17" i="2"/>
  <c r="V17" i="2"/>
  <c r="N9" i="2"/>
  <c r="Z9" i="2" a="1"/>
  <c r="Z9" i="2"/>
  <c r="X9" i="2"/>
  <c r="N15" i="2"/>
  <c r="Z15" i="2" a="1"/>
  <c r="Z15" i="2"/>
  <c r="S15" i="2"/>
  <c r="Z19" i="2" a="1"/>
  <c r="Z19" i="2"/>
  <c r="T19" i="2"/>
  <c r="N19" i="2"/>
  <c r="Y12" i="2" a="1"/>
  <c r="Y10" i="2" a="1"/>
  <c r="Y9" i="2" a="1"/>
  <c r="Y14" i="2" a="1"/>
  <c r="Y11" i="2" a="1"/>
  <c r="S24" i="2"/>
  <c r="O24" i="2"/>
  <c r="T23" i="2"/>
  <c r="U22" i="2"/>
  <c r="O22" i="2"/>
  <c r="X22" i="2"/>
  <c r="S22" i="2"/>
  <c r="U23" i="2"/>
  <c r="X23" i="2"/>
  <c r="U24" i="2"/>
  <c r="V24" i="2"/>
  <c r="Q24" i="2"/>
  <c r="M22" i="2"/>
  <c r="M24" i="2"/>
  <c r="V22" i="2"/>
  <c r="Q22" i="2"/>
  <c r="S23" i="2"/>
  <c r="Q23" i="2"/>
  <c r="T24" i="2"/>
  <c r="X24" i="2"/>
  <c r="Y24" i="2" a="1"/>
  <c r="Y24" i="2"/>
  <c r="W23" i="2"/>
  <c r="M23" i="2"/>
  <c r="P24" i="2"/>
  <c r="O23" i="2"/>
  <c r="W22" i="2"/>
  <c r="X21" i="2"/>
  <c r="W20" i="2"/>
  <c r="M20" i="2"/>
  <c r="W19" i="2"/>
  <c r="W21" i="2"/>
  <c r="W18" i="2"/>
  <c r="M19" i="2"/>
  <c r="M21" i="2"/>
  <c r="M18" i="2"/>
  <c r="M17" i="2"/>
  <c r="W17" i="2"/>
  <c r="W12" i="2"/>
  <c r="W14" i="2"/>
  <c r="W10" i="2"/>
  <c r="W15" i="2"/>
  <c r="W13" i="2"/>
  <c r="W11" i="2"/>
  <c r="W16" i="2"/>
  <c r="W9" i="2"/>
  <c r="M15" i="2"/>
  <c r="M16" i="2"/>
  <c r="M13" i="2"/>
  <c r="M11" i="2"/>
  <c r="M14" i="2"/>
  <c r="M12" i="2"/>
  <c r="M10" i="2"/>
  <c r="M9" i="2"/>
  <c r="Y14" i="2"/>
  <c r="Y12" i="2"/>
  <c r="Y10" i="2"/>
  <c r="Y11" i="2"/>
  <c r="Y9" i="2"/>
  <c r="O21" i="2"/>
  <c r="X13" i="2"/>
  <c r="O20" i="2"/>
  <c r="Q20" i="2"/>
  <c r="Q21" i="2"/>
  <c r="U21" i="2"/>
  <c r="V21" i="2"/>
  <c r="U13" i="2"/>
  <c r="O15" i="2"/>
  <c r="Q18" i="2"/>
  <c r="T20" i="2"/>
  <c r="Q14" i="2"/>
  <c r="S18" i="2"/>
  <c r="U20" i="2"/>
  <c r="X20" i="2"/>
  <c r="S19" i="2"/>
  <c r="U15" i="2"/>
  <c r="T17" i="2"/>
  <c r="U14" i="2"/>
  <c r="T15" i="2"/>
  <c r="X15" i="2"/>
  <c r="X19" i="2"/>
  <c r="O19" i="2"/>
  <c r="S13" i="2"/>
  <c r="U16" i="2"/>
  <c r="Q19" i="2"/>
  <c r="V15" i="2"/>
  <c r="Q15" i="2"/>
  <c r="X17" i="2"/>
  <c r="S21" i="2"/>
  <c r="O13" i="2"/>
  <c r="X18" i="2"/>
  <c r="U18" i="2"/>
  <c r="Q16" i="2"/>
  <c r="O16" i="2"/>
  <c r="S20" i="2"/>
  <c r="V16" i="2"/>
  <c r="Q17" i="2"/>
  <c r="O17" i="2"/>
  <c r="V14" i="2"/>
  <c r="T14" i="2"/>
  <c r="U19" i="2"/>
  <c r="V19" i="2"/>
  <c r="U17" i="2"/>
  <c r="S17" i="2"/>
  <c r="V13" i="2"/>
  <c r="Q13" i="2"/>
  <c r="O14" i="2"/>
  <c r="S14" i="2"/>
  <c r="V18" i="2"/>
  <c r="O18" i="2"/>
  <c r="S16" i="2"/>
  <c r="X16" i="2"/>
  <c r="Q12" i="2"/>
  <c r="V12" i="2"/>
  <c r="U12" i="2"/>
  <c r="O12" i="2"/>
  <c r="T12" i="2"/>
  <c r="S12" i="2"/>
  <c r="T11" i="2"/>
  <c r="Q11" i="2"/>
  <c r="S9" i="2"/>
  <c r="S10" i="2"/>
  <c r="S11" i="2"/>
  <c r="U9" i="2"/>
  <c r="O9" i="2"/>
  <c r="V10" i="2"/>
  <c r="U10" i="2"/>
  <c r="T9" i="2"/>
  <c r="O10" i="2"/>
  <c r="T10" i="2"/>
  <c r="V11" i="2"/>
  <c r="Q9" i="2"/>
  <c r="Q10" i="2"/>
  <c r="U11" i="2"/>
  <c r="O11" i="2"/>
  <c r="Y18" i="2" a="1"/>
  <c r="Y19" i="2" a="1"/>
  <c r="Y20" i="2" a="1"/>
  <c r="Y23" i="2" a="1"/>
  <c r="Y22" i="2" a="1"/>
  <c r="Y21" i="2" a="1"/>
  <c r="Y15" i="2" a="1"/>
  <c r="Y17" i="2" a="1"/>
  <c r="Y13" i="2" a="1"/>
  <c r="Y16" i="2" a="1"/>
  <c r="Y23" i="2"/>
  <c r="Y22" i="2"/>
  <c r="Y21" i="2"/>
  <c r="Y18" i="2"/>
  <c r="Y20" i="2"/>
  <c r="Y19" i="2"/>
  <c r="Y17" i="2"/>
  <c r="Y16" i="2"/>
  <c r="Y13" i="2"/>
  <c r="Y15" i="2"/>
  <c r="S323" i="9"/>
  <c r="O327" i="9"/>
  <c r="K323" i="9"/>
  <c r="O353" i="9"/>
  <c r="O323" i="9"/>
  <c r="O349" i="9"/>
  <c r="L327" i="9"/>
  <c r="L353" i="9"/>
  <c r="L324" i="9"/>
  <c r="L350" i="9"/>
  <c r="L325" i="9"/>
  <c r="L351" i="9"/>
  <c r="L326" i="9"/>
  <c r="L352" i="9"/>
  <c r="L323" i="9"/>
  <c r="L349" i="9"/>
  <c r="L80" i="9"/>
  <c r="L86" i="9"/>
  <c r="L224" i="9"/>
  <c r="L81" i="9"/>
  <c r="L148" i="9"/>
  <c r="L82" i="9"/>
  <c r="L149" i="9"/>
  <c r="L79" i="9"/>
  <c r="L215" i="9"/>
  <c r="O152" i="9"/>
  <c r="L221" i="9"/>
  <c r="L152" i="9"/>
  <c r="L218" i="9"/>
  <c r="L217" i="9"/>
  <c r="L146" i="9"/>
  <c r="L155" i="9"/>
  <c r="L147" i="9"/>
  <c r="L216" i="9"/>
  <c r="K15" i="9"/>
  <c r="K264" i="9"/>
  <c r="K8" i="9"/>
  <c r="O8" i="9"/>
  <c r="K18" i="9"/>
  <c r="O18" i="9"/>
  <c r="O267" i="9"/>
  <c r="K16" i="9"/>
  <c r="K7" i="9"/>
  <c r="O7" i="9"/>
  <c r="K13" i="9"/>
  <c r="O13" i="9"/>
  <c r="K12" i="9"/>
  <c r="K9" i="9"/>
  <c r="K258" i="9"/>
  <c r="K6" i="9"/>
  <c r="K19" i="9"/>
  <c r="O19" i="9"/>
  <c r="O180" i="9"/>
  <c r="K11" i="9"/>
  <c r="K391" i="9"/>
  <c r="K10" i="9"/>
  <c r="K259" i="9"/>
  <c r="K17" i="9"/>
  <c r="K397" i="9"/>
  <c r="V9" i="2"/>
  <c r="K178" i="9"/>
  <c r="K395" i="9"/>
  <c r="K267" i="9"/>
  <c r="K266" i="9"/>
  <c r="K169" i="9"/>
  <c r="O9" i="9"/>
  <c r="O170" i="9"/>
  <c r="K174" i="9"/>
  <c r="K166" i="9"/>
  <c r="O385" i="9"/>
  <c r="K179" i="9"/>
  <c r="K388" i="9"/>
  <c r="K268" i="9"/>
  <c r="K398" i="9"/>
  <c r="K180" i="9"/>
  <c r="K256" i="9"/>
  <c r="O10" i="9"/>
  <c r="O390" i="9"/>
  <c r="K176" i="9"/>
  <c r="O388" i="9"/>
  <c r="O257" i="9"/>
  <c r="O169" i="9"/>
  <c r="O174" i="9"/>
  <c r="O393" i="9"/>
  <c r="O262" i="9"/>
  <c r="O387" i="9"/>
  <c r="O256" i="9"/>
  <c r="O168" i="9"/>
  <c r="K261" i="9"/>
  <c r="K171" i="9"/>
  <c r="K389" i="9"/>
  <c r="K399" i="9"/>
  <c r="K255" i="9"/>
  <c r="O12" i="9"/>
  <c r="K393" i="9"/>
  <c r="K387" i="9"/>
  <c r="K260" i="9"/>
  <c r="K173" i="9"/>
  <c r="K177" i="9"/>
  <c r="O15" i="9"/>
  <c r="K390" i="9"/>
  <c r="K170" i="9"/>
  <c r="K385" i="9"/>
  <c r="K254" i="9"/>
  <c r="O6" i="9"/>
  <c r="K172" i="9"/>
  <c r="K392" i="9"/>
  <c r="K265" i="9"/>
  <c r="O398" i="9"/>
  <c r="O17" i="9"/>
  <c r="O268" i="9"/>
  <c r="K386" i="9"/>
  <c r="O11" i="9"/>
  <c r="O399" i="9"/>
  <c r="K167" i="9"/>
  <c r="K262" i="9"/>
  <c r="K168" i="9"/>
  <c r="K396" i="9"/>
  <c r="O179" i="9"/>
  <c r="K257" i="9"/>
  <c r="O16" i="9"/>
  <c r="L13" i="9"/>
  <c r="L262" i="9"/>
  <c r="L410" i="9"/>
  <c r="L90" i="9"/>
  <c r="L14" i="9"/>
  <c r="L11" i="9"/>
  <c r="P15" i="2"/>
  <c r="O389" i="9"/>
  <c r="L9" i="9"/>
  <c r="L389" i="9"/>
  <c r="O258" i="9"/>
  <c r="O166" i="9"/>
  <c r="O254" i="9"/>
  <c r="L7" i="9"/>
  <c r="L168" i="9"/>
  <c r="O259" i="9"/>
  <c r="O171" i="9"/>
  <c r="O264" i="9"/>
  <c r="O176" i="9"/>
  <c r="O395" i="9"/>
  <c r="L17" i="9"/>
  <c r="L16" i="9"/>
  <c r="P17" i="2"/>
  <c r="L6" i="9"/>
  <c r="O260" i="9"/>
  <c r="O391" i="9"/>
  <c r="O172" i="9"/>
  <c r="P13" i="2"/>
  <c r="O392" i="9"/>
  <c r="O261" i="9"/>
  <c r="O173" i="9"/>
  <c r="O255" i="9"/>
  <c r="O386" i="9"/>
  <c r="O167" i="9"/>
  <c r="L409" i="9"/>
  <c r="L89" i="9"/>
  <c r="L15" i="9"/>
  <c r="L18" i="9"/>
  <c r="L19" i="9"/>
  <c r="P23" i="2"/>
  <c r="O396" i="9"/>
  <c r="O265" i="9"/>
  <c r="O177" i="9"/>
  <c r="L8" i="9"/>
  <c r="O178" i="9"/>
  <c r="O266" i="9"/>
  <c r="O397" i="9"/>
  <c r="L10" i="9"/>
  <c r="L5" i="9"/>
  <c r="L12" i="9"/>
  <c r="L393" i="9"/>
  <c r="L174" i="9"/>
  <c r="L175" i="9"/>
  <c r="L394" i="9"/>
  <c r="L263" i="9"/>
  <c r="L258" i="9"/>
  <c r="L391" i="9"/>
  <c r="L387" i="9"/>
  <c r="L170" i="9"/>
  <c r="P11" i="2"/>
  <c r="L260" i="9"/>
  <c r="L172" i="9"/>
  <c r="L256" i="9"/>
  <c r="L167" i="9"/>
  <c r="P10" i="2"/>
  <c r="L255" i="9"/>
  <c r="L386" i="9"/>
  <c r="L178" i="9"/>
  <c r="P20" i="2"/>
  <c r="L266" i="9"/>
  <c r="L397" i="9"/>
  <c r="P21" i="2"/>
  <c r="L398" i="9"/>
  <c r="L179" i="9"/>
  <c r="L267" i="9"/>
  <c r="L173" i="9"/>
  <c r="P16" i="2"/>
  <c r="L261" i="9"/>
  <c r="L392" i="9"/>
  <c r="L395" i="9"/>
  <c r="L264" i="9"/>
  <c r="L176" i="9"/>
  <c r="P18" i="2"/>
  <c r="L177" i="9"/>
  <c r="P19" i="2"/>
  <c r="L265" i="9"/>
  <c r="L396" i="9"/>
  <c r="L166" i="9"/>
  <c r="P9" i="2"/>
  <c r="L385" i="9"/>
  <c r="L254" i="9"/>
  <c r="P14" i="2"/>
  <c r="L259" i="9"/>
  <c r="L390" i="9"/>
  <c r="L171" i="9"/>
  <c r="L169" i="9"/>
  <c r="P12" i="2"/>
  <c r="L257" i="9"/>
  <c r="L388" i="9"/>
  <c r="L399" i="9"/>
  <c r="L180" i="9"/>
  <c r="L268" i="9"/>
  <c r="P2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tc={8838DB41-399E-49F1-A7A2-D7DC2796A500}</author>
    <author>Menno Wieten</author>
  </authors>
  <commentList>
    <comment ref="E7" authorId="0" shapeId="0" xr:uid="{8838DB41-399E-49F1-A7A2-D7DC2796A500}">
      <text>
        <t>[Opmerkingenthread]
U kunt deze opmerkingenthread lezen in uw versie van Excel. Eventuele wijzigingen aan de thread gaan echter verloren als het bestand wordt geopend in een nieuwere versie van Excel. Meer informatie: https://go.microsoft.com/fwlink/?linkid=870924
Opmerking:
    Mocht je een element missen, kijk dan in het tabblad 'uitleg invoer' bij stap 2. Hier is uitgelegd hoe je het element kunt opsporen.</t>
      </text>
    </comment>
    <comment ref="B9" authorId="1" shapeId="0" xr:uid="{00000000-0006-0000-0100-000001000000}">
      <text>
        <r>
          <rPr>
            <b/>
            <sz val="9"/>
            <color indexed="81"/>
            <rFont val="Tahoma"/>
            <family val="2"/>
          </rPr>
          <t>Kies een Object cq. Element uit de lijst</t>
        </r>
      </text>
    </comment>
    <comment ref="E9" authorId="1" shapeId="0" xr:uid="{00000000-0006-0000-0100-000002000000}">
      <text>
        <r>
          <rPr>
            <b/>
            <sz val="9"/>
            <color indexed="81"/>
            <rFont val="Tahoma"/>
            <family val="2"/>
          </rPr>
          <t xml:space="preserve">Kies een Element, c.q. Bouwdeel uit de lijst. </t>
        </r>
      </text>
    </comment>
    <comment ref="H9" authorId="1" shapeId="0" xr:uid="{00000000-0006-0000-0100-000003000000}">
      <text>
        <r>
          <rPr>
            <b/>
            <sz val="9"/>
            <color indexed="81"/>
            <rFont val="Tahoma"/>
            <family val="2"/>
          </rPr>
          <t>Geef het aantal jaar in dat het Object moet functioneren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<sst xmlns="http://schemas.openxmlformats.org/spreadsheetml/2006/main" count="3245" uniqueCount="672">
  <si>
    <t>asfalt</t>
  </si>
  <si>
    <t>beton</t>
  </si>
  <si>
    <t>betonnen klinkers</t>
  </si>
  <si>
    <t>grind</t>
  </si>
  <si>
    <t>staal</t>
  </si>
  <si>
    <t>pvc</t>
  </si>
  <si>
    <t>aluminium</t>
  </si>
  <si>
    <t>duiker</t>
  </si>
  <si>
    <t>ankerschot</t>
  </si>
  <si>
    <t>deksloof</t>
  </si>
  <si>
    <t>afrastering</t>
  </si>
  <si>
    <t>staal (verzinkt)</t>
  </si>
  <si>
    <t>naaldhout</t>
  </si>
  <si>
    <t>hardhout</t>
  </si>
  <si>
    <t>wegfundering</t>
  </si>
  <si>
    <t>kwelscherm</t>
  </si>
  <si>
    <t>zand</t>
  </si>
  <si>
    <t>drainage</t>
  </si>
  <si>
    <t>grondlichaam</t>
  </si>
  <si>
    <t>klei</t>
  </si>
  <si>
    <t>vlechtscherm</t>
  </si>
  <si>
    <t>granulaat</t>
  </si>
  <si>
    <t>wegwapening</t>
  </si>
  <si>
    <t>taludbekleding</t>
  </si>
  <si>
    <t>kunststof (geotextiel)</t>
  </si>
  <si>
    <t>kunststof met kokos</t>
  </si>
  <si>
    <t>RVS</t>
  </si>
  <si>
    <t>Eenheid</t>
  </si>
  <si>
    <t>rvs</t>
  </si>
  <si>
    <t>gvk</t>
  </si>
  <si>
    <t>lava</t>
  </si>
  <si>
    <t>chemische korrels</t>
  </si>
  <si>
    <t>gietijzer</t>
  </si>
  <si>
    <t>rubber</t>
  </si>
  <si>
    <t>afdekking bakken</t>
  </si>
  <si>
    <t>zeil</t>
  </si>
  <si>
    <t>betonplaten</t>
  </si>
  <si>
    <t>gebouw</t>
  </si>
  <si>
    <t>afrasteringspalen</t>
  </si>
  <si>
    <t>natuursteen</t>
  </si>
  <si>
    <t>dakbedekking</t>
  </si>
  <si>
    <t>bitumen</t>
  </si>
  <si>
    <t>dakpannen</t>
  </si>
  <si>
    <t>zink</t>
  </si>
  <si>
    <t>combi hardhout/naaldhout</t>
  </si>
  <si>
    <t>grasbetonsteen</t>
  </si>
  <si>
    <t>gebakken klinkers</t>
  </si>
  <si>
    <t>baksteen enkelsteens</t>
  </si>
  <si>
    <t>m3</t>
  </si>
  <si>
    <t>m2</t>
  </si>
  <si>
    <t>m1</t>
  </si>
  <si>
    <t>Element cq. bouwdeel</t>
  </si>
  <si>
    <t>Materiaal</t>
  </si>
  <si>
    <t>Sluis</t>
  </si>
  <si>
    <t>Brug</t>
  </si>
  <si>
    <t>Gemaal</t>
  </si>
  <si>
    <t>betonnen tegels</t>
  </si>
  <si>
    <t>basaltblokken</t>
  </si>
  <si>
    <t>Beschoeiing</t>
  </si>
  <si>
    <t>staal met betonvulling</t>
  </si>
  <si>
    <t>opgeklampt schot</t>
  </si>
  <si>
    <t>(perkoen)palen</t>
  </si>
  <si>
    <t>fundering (hei)palen</t>
  </si>
  <si>
    <t>Gebouw</t>
  </si>
  <si>
    <t>zie Gebouw</t>
  </si>
  <si>
    <t>landhoofd</t>
  </si>
  <si>
    <t>metselwerk</t>
  </si>
  <si>
    <t>brugdek</t>
  </si>
  <si>
    <t>leuning</t>
  </si>
  <si>
    <t>zie Put/Bak</t>
  </si>
  <si>
    <t>zie Leiding</t>
  </si>
  <si>
    <t>rooster/krooshek</t>
  </si>
  <si>
    <t>looprooster/loopbrug</t>
  </si>
  <si>
    <t>zie Terrein</t>
  </si>
  <si>
    <t>muur/wand</t>
  </si>
  <si>
    <t>zie Damwand</t>
  </si>
  <si>
    <t>zie Gemaal</t>
  </si>
  <si>
    <t>gres</t>
  </si>
  <si>
    <t>zie Damwand/Beschoeiing</t>
  </si>
  <si>
    <t>leiding</t>
  </si>
  <si>
    <t>sluisdeur</t>
  </si>
  <si>
    <t>filtermateriaal</t>
  </si>
  <si>
    <t>Filtermateriaal (RWZI)</t>
  </si>
  <si>
    <t>kunststof (gras)tegel/plaat</t>
  </si>
  <si>
    <t>gebroken natuursteen</t>
  </si>
  <si>
    <t>bims</t>
  </si>
  <si>
    <t>schuimbeton</t>
  </si>
  <si>
    <t>scheidingsdoek</t>
  </si>
  <si>
    <t>kunststof met PP</t>
  </si>
  <si>
    <t>zie Afrastering/Hekwerk</t>
  </si>
  <si>
    <t>naaldhout met betonopzetter</t>
  </si>
  <si>
    <t>beton (prefeb)</t>
  </si>
  <si>
    <t>beton (in werk gevormd)</t>
  </si>
  <si>
    <t>bestrating</t>
  </si>
  <si>
    <t>opbouw (stuw/gemaal)</t>
  </si>
  <si>
    <t>glas (dubbel)</t>
  </si>
  <si>
    <t>kokos</t>
  </si>
  <si>
    <t>zie Brug</t>
  </si>
  <si>
    <t>traptreden</t>
  </si>
  <si>
    <t>loopbrug(dek)</t>
  </si>
  <si>
    <t>pe</t>
  </si>
  <si>
    <t>grout</t>
  </si>
  <si>
    <t>betonblokkenmat</t>
  </si>
  <si>
    <t>zie ook: Damwand</t>
  </si>
  <si>
    <t>baksteen dubbel, met spouw</t>
  </si>
  <si>
    <t>kunststof (pvc)</t>
  </si>
  <si>
    <t>kunststof (pe)</t>
  </si>
  <si>
    <t>steenzetting (betonstenen)</t>
  </si>
  <si>
    <t>stortsteen (natuursteen)</t>
  </si>
  <si>
    <t>twinwood (combi naaldhout/hardhout)</t>
  </si>
  <si>
    <t>combi-plank (naaldhout/pe)</t>
  </si>
  <si>
    <t>kunststof (pvc) nieuw</t>
  </si>
  <si>
    <t>kunststof (pvc) gerecycled</t>
  </si>
  <si>
    <t>kunststof (pe) nieuw</t>
  </si>
  <si>
    <t>kunststof (pe) gerecycled</t>
  </si>
  <si>
    <t>pe, met stalen wapening</t>
  </si>
  <si>
    <t>put/bak/tank</t>
  </si>
  <si>
    <t>koper</t>
  </si>
  <si>
    <t>afsluiters/schuiven</t>
  </si>
  <si>
    <t>kunststof (pe?)</t>
  </si>
  <si>
    <t>natuurlijk (kokos/jute/sisal/wiepen)</t>
  </si>
  <si>
    <t>mat (nylon; vaak icm. bitumen en st.slag)</t>
  </si>
  <si>
    <t>mat (eco, van kokos)</t>
  </si>
  <si>
    <t>klei(inzetting)</t>
  </si>
  <si>
    <t>zie taludbekleding</t>
  </si>
  <si>
    <t>geotextiel, kunststof (pp)</t>
  </si>
  <si>
    <t>kunststof (pp)</t>
  </si>
  <si>
    <t>hdpe (plaat)</t>
  </si>
  <si>
    <t>epoxy</t>
  </si>
  <si>
    <t>Vispassage</t>
  </si>
  <si>
    <t>zie Ontvangput/Put/Bak/Tank</t>
  </si>
  <si>
    <t>zie Peilscheiding/Stuw/Damwand</t>
  </si>
  <si>
    <t>zie Duiker/Sifon/Leiding</t>
  </si>
  <si>
    <t>bio based buis</t>
  </si>
  <si>
    <t>bio based buis (biologisch afbreekbaar)</t>
  </si>
  <si>
    <t>hdpe</t>
  </si>
  <si>
    <t>eps (piepschuim)</t>
  </si>
  <si>
    <t>(in jaar)</t>
  </si>
  <si>
    <t>►</t>
  </si>
  <si>
    <t>Element, cq. Bouwdeel</t>
  </si>
  <si>
    <t>code</t>
  </si>
  <si>
    <t>STAP 1</t>
  </si>
  <si>
    <t>STAP 2</t>
  </si>
  <si>
    <t>STAP 3</t>
  </si>
  <si>
    <t>Object</t>
  </si>
  <si>
    <t>(in meter)</t>
  </si>
  <si>
    <t>gvk (gerecycled)</t>
  </si>
  <si>
    <t>alleen dek; geen liggers</t>
  </si>
  <si>
    <t>willekeurige situatie</t>
  </si>
  <si>
    <t>zie Bekleding/Terrein</t>
  </si>
  <si>
    <t>staal (corten)</t>
  </si>
  <si>
    <t>kunststof hdpe (met sedum)</t>
  </si>
  <si>
    <t>plaatstaal (behandeld)</t>
  </si>
  <si>
    <t>aluminium (traanplaat)</t>
  </si>
  <si>
    <t>kastanje</t>
  </si>
  <si>
    <t>antl var</t>
  </si>
  <si>
    <t>Materiaal varianten (wordt automatisch gevuld)</t>
  </si>
  <si>
    <t>#</t>
  </si>
  <si>
    <t>Uitgangspunten</t>
  </si>
  <si>
    <t xml:space="preserve">staal, verankerd (AZ13-700) </t>
  </si>
  <si>
    <t xml:space="preserve">staal, on-verankerd (AZ13-700) </t>
  </si>
  <si>
    <t>staal, koudgewalst (GPZ27-630)</t>
  </si>
  <si>
    <t>alleen schot; geen ribben</t>
  </si>
  <si>
    <t>wilgentenen</t>
  </si>
  <si>
    <t>dikte is diameter</t>
  </si>
  <si>
    <t xml:space="preserve">m2 </t>
  </si>
  <si>
    <t>spijlen van strip 7x70mm, hoh 70mm</t>
  </si>
  <si>
    <t>alleen wand</t>
  </si>
  <si>
    <t>pe (buis met dubbele wand)</t>
  </si>
  <si>
    <t>goot (in verhardingen)</t>
  </si>
  <si>
    <t>goot, breed 0,2m</t>
  </si>
  <si>
    <t>kunststof (hdpe plaat)</t>
  </si>
  <si>
    <t>bentoniet</t>
  </si>
  <si>
    <t>alleen plaat wand; geen versteviging</t>
  </si>
  <si>
    <t>alleen plaat wand; geen versteviging. dikte is excl. spouw</t>
  </si>
  <si>
    <t>naaldhout : verduurzaamd (methode?)</t>
  </si>
  <si>
    <t>gvk : of alternatief ?</t>
  </si>
  <si>
    <t>Peilscheiding,Stuw, Damwand</t>
  </si>
  <si>
    <t>Put, Bak, Tank</t>
  </si>
  <si>
    <t>Duiker, Sifon, Leiding, Goot</t>
  </si>
  <si>
    <t>Bekleding, Terrein</t>
  </si>
  <si>
    <t>Afrastering, Hekwerk</t>
  </si>
  <si>
    <t>Bescherming, coating</t>
  </si>
  <si>
    <t>uniek #</t>
  </si>
  <si>
    <t>Object --&gt;</t>
  </si>
  <si>
    <t>Objectvarianten</t>
  </si>
  <si>
    <t>ZELF AAN TE MAKEN NA MUTATIE VAN DE LINKER LIJSTEN</t>
  </si>
  <si>
    <t xml:space="preserve">Categorie </t>
  </si>
  <si>
    <t>Wanddikte (m)</t>
  </si>
  <si>
    <t>Damwand Staal</t>
  </si>
  <si>
    <t xml:space="preserve">12 m diep, 136 kg / m2 </t>
  </si>
  <si>
    <t xml:space="preserve">1000 mm dik </t>
  </si>
  <si>
    <t>Bekleding, waterbouw steenbreuksteen natuursteen</t>
  </si>
  <si>
    <t>Constructies in kg of m3, wapeningstaal</t>
  </si>
  <si>
    <t>kg</t>
  </si>
  <si>
    <t>Reflectorpalen PVC</t>
  </si>
  <si>
    <t>stuk</t>
  </si>
  <si>
    <t xml:space="preserve">m1 </t>
  </si>
  <si>
    <t>Spouwmuren binnenlad, baksteenmetselwerk</t>
  </si>
  <si>
    <t xml:space="preserve">wanddikte </t>
  </si>
  <si>
    <t>Leuning, Tropisch loofhout, duurzame bosbouw</t>
  </si>
  <si>
    <t>Leuning, RVS</t>
  </si>
  <si>
    <t xml:space="preserve">Leuning, Staal gecoat </t>
  </si>
  <si>
    <t>RVS vlakke plint, 1,5mm dik, 100 mm lang, 1,17 kg</t>
  </si>
  <si>
    <t>Gewicht = 1,17 kg</t>
  </si>
  <si>
    <t>soortelijk gewicht RVS: 7930</t>
  </si>
  <si>
    <t xml:space="preserve">diameter 300mm rond, wanddikte standaard </t>
  </si>
  <si>
    <t>Gietijzer (obv gasleiding)</t>
  </si>
  <si>
    <t xml:space="preserve">soortelijk gewicht 7800 kg / m3 </t>
  </si>
  <si>
    <t xml:space="preserve">dichtheid 2500 kg / m3 </t>
  </si>
  <si>
    <t xml:space="preserve">Verhardingen, Grind </t>
  </si>
  <si>
    <t xml:space="preserve">m3 </t>
  </si>
  <si>
    <t>Grondwerken, lichte ophoogmaterialen, BIMS (yali)</t>
  </si>
  <si>
    <t xml:space="preserve">1080 kg / m3 </t>
  </si>
  <si>
    <t xml:space="preserve">100 mm dik </t>
  </si>
  <si>
    <t>Polyester vlies</t>
  </si>
  <si>
    <t xml:space="preserve">dikte 1000 mm </t>
  </si>
  <si>
    <t xml:space="preserve">dike 72 mm inwendig, en buitenwand 3 mm </t>
  </si>
  <si>
    <t xml:space="preserve">4/16/4 mm </t>
  </si>
  <si>
    <t>Levensduur Project</t>
  </si>
  <si>
    <t>Damwandplanken (in oever, op waterlijn)</t>
  </si>
  <si>
    <t>Gording</t>
  </si>
  <si>
    <t>Diameter</t>
  </si>
  <si>
    <t>Levensduur Materiaal</t>
  </si>
  <si>
    <t>Databron</t>
  </si>
  <si>
    <t>(met kleurcodering)</t>
  </si>
  <si>
    <t>(levensduur project/element )</t>
  </si>
  <si>
    <t>(meter)</t>
  </si>
  <si>
    <t>Vervangingen van element</t>
  </si>
  <si>
    <t xml:space="preserve">Berekening (Rijen: 25 &amp; 58_Dubocalc Items) </t>
  </si>
  <si>
    <t>Opmerking</t>
  </si>
  <si>
    <t>Materialen met een geel gemarkeerde levensduur hebben een kortere levensduur dan het Element cq Bouwdeel. Hier moet je vaker terugkomen.</t>
  </si>
  <si>
    <t>Aantal vervangingen</t>
  </si>
  <si>
    <t>Materialen met een groen gemarkeerde levensduur gaan even lang mee als de gevraagde functie</t>
  </si>
  <si>
    <t>(!) Aanname: wanddikte bron en HDSR zijn gelijk (wanddikte bij bron onvermeld)</t>
  </si>
  <si>
    <t>(DuboCalc item)</t>
  </si>
  <si>
    <t>aanvullende dimensie</t>
  </si>
  <si>
    <t>(jaar)</t>
  </si>
  <si>
    <t xml:space="preserve">Functionele levensduur </t>
  </si>
  <si>
    <t>Relatieve score MKI</t>
  </si>
  <si>
    <t>eenheid</t>
  </si>
  <si>
    <t>Unieke Code</t>
  </si>
  <si>
    <t>(keer)</t>
  </si>
  <si>
    <t>Legenda</t>
  </si>
  <si>
    <t>Bereik</t>
  </si>
  <si>
    <t>(€/eenheid)</t>
  </si>
  <si>
    <t>hoogte Gording: 150 mm</t>
  </si>
  <si>
    <t>kunststof gerecycled met stalen kern</t>
  </si>
  <si>
    <t>kunststof gerecycled met houten kern</t>
  </si>
  <si>
    <t>Producent: Gampet of KLP</t>
  </si>
  <si>
    <t>duurzaam asfalt</t>
  </si>
  <si>
    <t>Meerdere innovaties mogeiljk: hoog % PR, lignine of dakbitumen ipv bitumen. Draait allemaal om lagere MKI-waarde</t>
  </si>
  <si>
    <t>Biocomposiet (@Liesbeth Tromp)</t>
  </si>
  <si>
    <t>Overal toepassen waar gvk</t>
  </si>
  <si>
    <t>cementloze betontegels (geopolymeren)</t>
  </si>
  <si>
    <t>Vislift</t>
  </si>
  <si>
    <t>Totaalproduct. MKI onbekend. Www.vislift.nl</t>
  </si>
  <si>
    <t>Geen data</t>
  </si>
  <si>
    <t>Kunststof (pvc)</t>
  </si>
  <si>
    <t xml:space="preserve">Kunststof (pvc) </t>
  </si>
  <si>
    <t>Opsplitsing 
MKI</t>
  </si>
  <si>
    <t xml:space="preserve">Holle buis met diameter: 100 mm </t>
  </si>
  <si>
    <t>Holle buis met diameter: 50 mm</t>
  </si>
  <si>
    <t xml:space="preserve">Lak </t>
  </si>
  <si>
    <t>Poedercoating</t>
  </si>
  <si>
    <t>Verzinkt staal (gespoten)</t>
  </si>
  <si>
    <t>Te gebruiken domeinlijsten voor het keuzeblad (na mutaties van kolom A t/m J opnieuw aan te maken!</t>
  </si>
  <si>
    <t>!) Aanname: wanddikte bron en HDSR zijn gelijk (wanddikte bij bron onvermeld)</t>
  </si>
  <si>
    <t>Holle buis met diameter: 300 mm</t>
  </si>
  <si>
    <t>1x dubbele wanddikte van holle buis met diameter: 300 mm</t>
  </si>
  <si>
    <t>Holle buis met diameter: 100 mm</t>
  </si>
  <si>
    <t>Vulkanisch gesteente (lava/basalt)</t>
  </si>
  <si>
    <t xml:space="preserve">chemische korrels (Poederkoolstof) </t>
  </si>
  <si>
    <t>Holle buis met diameter: 150 mm</t>
  </si>
  <si>
    <t>beton (prefab)</t>
  </si>
  <si>
    <t>100 mm dik, wand</t>
  </si>
  <si>
    <t>naaldhout : verduurzaamd (gecreosoteerd)</t>
  </si>
  <si>
    <t>Soortelijk gewicht: 1020 (940-1100) 
Omgerekend op basis van damwand, 1000x150x1000</t>
  </si>
  <si>
    <t>Opmerkingen voor gebruikers</t>
  </si>
  <si>
    <t>Vereiste functionele levensduur Object in project</t>
  </si>
  <si>
    <t xml:space="preserve">Wanddikte 0,245 m </t>
  </si>
  <si>
    <t>Natlaksysteem voor staalconstructies</t>
  </si>
  <si>
    <t>Gebruik en onderhoud:
B</t>
  </si>
  <si>
    <t xml:space="preserve">Toeslag CAT 3 data </t>
  </si>
  <si>
    <t xml:space="preserve">incl. toeslag </t>
  </si>
  <si>
    <t xml:space="preserve">Eenheid item </t>
  </si>
  <si>
    <t xml:space="preserve">MKI [€] per eenheid per jaar </t>
  </si>
  <si>
    <t>Betonmortel C20/25 (CEM I)</t>
  </si>
  <si>
    <t xml:space="preserve">
!) Aanname: wanddikte bron en HDSR zijn gelijk (wanddikte bij bron onvermeld)</t>
  </si>
  <si>
    <t>REFERENTIEGEGEVENS</t>
  </si>
  <si>
    <t xml:space="preserve">LEVENSCYCLUS FASEN </t>
  </si>
  <si>
    <t>Productie:
A1-A3</t>
  </si>
  <si>
    <t>Constructie &amp; Transport:
A4-A5</t>
  </si>
  <si>
    <t>Sloop en einde               levensverwerking: 
C</t>
  </si>
  <si>
    <t>Baten &amp; lasten van module C: 
D</t>
  </si>
  <si>
    <t>(Kleurcode, zie toelichting)</t>
  </si>
  <si>
    <t>Database met objecten, elementen, materialen van HDSR en milieuscore</t>
  </si>
  <si>
    <t>Grijs = gekopieerde info</t>
  </si>
  <si>
    <t>80% Hardhout, 20% naaldhout</t>
  </si>
  <si>
    <t>ton</t>
  </si>
  <si>
    <t>Soortelijk gewicht 7800</t>
  </si>
  <si>
    <t>Bekleding, kunststof grastegels (HDPE)</t>
  </si>
  <si>
    <t>Grids</t>
  </si>
  <si>
    <t>Groutanker</t>
  </si>
  <si>
    <t>Dikte</t>
  </si>
  <si>
    <t>Bron</t>
  </si>
  <si>
    <t>Op basis van een kunststof grastegel van 4cm</t>
  </si>
  <si>
    <t>Diameter 125</t>
  </si>
  <si>
    <t>Gerecycled GVK</t>
  </si>
  <si>
    <t>Krafton en van Beek</t>
  </si>
  <si>
    <t>Let op: onverwarmd.
alleen plaat wand; geen versteviging</t>
  </si>
  <si>
    <t>Let op: onverwarmd
alleen plaat wand; geen versteviging. dikte is excl. spouw</t>
  </si>
  <si>
    <t>Let op: onverwarmd</t>
  </si>
  <si>
    <t xml:space="preserve">Schuimbeton </t>
  </si>
  <si>
    <t>&gt; Wit betekend dat er geen goede data bekend is voor het element</t>
  </si>
  <si>
    <t xml:space="preserve">VUL HIER PER STAP JE ONTWERPKEUZES IN (wis eerst de velden voordat je opnieuw begint) </t>
  </si>
  <si>
    <t>DuboCalc versie</t>
  </si>
  <si>
    <t>Damwand, Beton</t>
  </si>
  <si>
    <t>Meranti delen, duurzame bosbouw</t>
  </si>
  <si>
    <t>Aanvullende dimensie is omrekenfactor voor impact per ton</t>
  </si>
  <si>
    <t xml:space="preserve">Gemiddeld soortelijk gewicht: 580 kg / m3 </t>
  </si>
  <si>
    <t>dikte 100 mm</t>
  </si>
  <si>
    <t>11,5 (9 m hout, 2,5 beton)</t>
  </si>
  <si>
    <t xml:space="preserve">verzinkt en gecoat </t>
  </si>
  <si>
    <t>alleen dek; geen liggers; Verzinkt en gecoat</t>
  </si>
  <si>
    <t>conservering</t>
  </si>
  <si>
    <t>Dijk, Kering</t>
  </si>
  <si>
    <t>zie Dijk/Kering</t>
  </si>
  <si>
    <t xml:space="preserve">hoogte Gording: 150 mm; Let op! Onzekere MKI, zie bron  </t>
  </si>
  <si>
    <t xml:space="preserve">Let op: onverwarmd.
alleen plaat wand; geen versteviging; 
Let op! Onzekere MKI, zie bron  </t>
  </si>
  <si>
    <t>Aandachtspunten berekening</t>
  </si>
  <si>
    <t>dikte gebruikt voor referentieberekening is geen reguliere plankdikte, maar wel verkrijgbaar</t>
  </si>
  <si>
    <t xml:space="preserve">alleen dek; geen liggers; </t>
  </si>
  <si>
    <t>Referentie stalen leuning is 2 x zo dun als hardhout; hollebuis met diameter: 50 mm</t>
  </si>
  <si>
    <t xml:space="preserve">alleen wand
</t>
  </si>
  <si>
    <t xml:space="preserve">alleen plaat wand; geen versteviging </t>
  </si>
  <si>
    <t>Tijdelijk product. Gaat verloren in grond</t>
  </si>
  <si>
    <t xml:space="preserve">alleen dek; geen liggers;  </t>
  </si>
  <si>
    <t>MKI met begrenzing</t>
  </si>
  <si>
    <t>Relatieve MKI score met begrenzing</t>
  </si>
  <si>
    <t>Asfalt, AC surf zonder PR</t>
  </si>
  <si>
    <t>Asfalt, AC surf zonder PR, 25 mm</t>
  </si>
  <si>
    <r>
      <t xml:space="preserve">Duurzaam asfalt o.b.v. </t>
    </r>
    <r>
      <rPr>
        <b/>
        <sz val="9"/>
        <color theme="1"/>
        <rFont val="Arial"/>
        <family val="2"/>
      </rPr>
      <t>AC 11 surf 40/60 Lynpave</t>
    </r>
  </si>
  <si>
    <t>TNO en EPD AC 11 surf 40/60 Lynpave</t>
  </si>
  <si>
    <t>1, 2</t>
  </si>
  <si>
    <r>
      <t xml:space="preserve">Betonmortel C20/25 CEM I </t>
    </r>
    <r>
      <rPr>
        <b/>
        <sz val="9"/>
        <color theme="1"/>
        <rFont val="Arial"/>
        <family val="2"/>
      </rPr>
      <t>30% granulaat</t>
    </r>
    <r>
      <rPr>
        <sz val="9"/>
        <color theme="1"/>
        <rFont val="Arial"/>
        <family val="2"/>
      </rPr>
      <t xml:space="preserve"> – in situ voor GWW</t>
    </r>
  </si>
  <si>
    <t>Cat.3 LCA betonmortel (SGS, 2020)</t>
  </si>
  <si>
    <t>Betonmortel C20/25 CEM I – in situ voor GWW</t>
  </si>
  <si>
    <r>
      <t xml:space="preserve">Damwand, Beton </t>
    </r>
    <r>
      <rPr>
        <b/>
        <sz val="9"/>
        <color theme="1"/>
        <rFont val="Arial"/>
        <family val="2"/>
      </rPr>
      <t>30% granulaat</t>
    </r>
  </si>
  <si>
    <r>
      <t>GVK, glasvezels in polyester</t>
    </r>
    <r>
      <rPr>
        <b/>
        <sz val="9"/>
        <color theme="1"/>
        <rFont val="Arial"/>
        <family val="2"/>
      </rPr>
      <t>, biobased hars</t>
    </r>
  </si>
  <si>
    <t>Duurzame alternatieven</t>
  </si>
  <si>
    <r>
      <t xml:space="preserve">Duurzaam asfalt o.b.v. </t>
    </r>
    <r>
      <rPr>
        <b/>
        <sz val="9"/>
        <color theme="1"/>
        <rFont val="Arial"/>
        <family val="2"/>
      </rPr>
      <t>AC 11 surf 40/60 Lynpave</t>
    </r>
    <r>
      <rPr>
        <sz val="9"/>
        <color theme="1"/>
        <rFont val="Arial"/>
        <family val="2"/>
      </rPr>
      <t>, 25 mm</t>
    </r>
  </si>
  <si>
    <t>Overdikte staal</t>
  </si>
  <si>
    <t>Polyester vlies is aannemelijk van PET</t>
  </si>
  <si>
    <t>kunststof (pet)</t>
  </si>
  <si>
    <t>asfalt, AC surf zonder recycling</t>
  </si>
  <si>
    <t>Duurzaam asfalt. AC 11 surf 40/60 Lynpave</t>
  </si>
  <si>
    <t>beton 30% granulaat</t>
  </si>
  <si>
    <r>
      <t xml:space="preserve">ww excel: </t>
    </r>
    <r>
      <rPr>
        <b/>
        <sz val="10"/>
        <color theme="1"/>
        <rFont val="Arial"/>
        <family val="2"/>
      </rPr>
      <t>hdsr</t>
    </r>
  </si>
  <si>
    <t>natuurlijk (kokos/jute)</t>
  </si>
  <si>
    <t>kunststof (geotextiel) non-woven (pet)</t>
  </si>
  <si>
    <t>Kunststof (geotextiel) woven (pp)</t>
  </si>
  <si>
    <t>Gewoven geotextiel (PP), zwart</t>
  </si>
  <si>
    <t>Non-woven Polyester vlies (PET), wit</t>
  </si>
  <si>
    <t>Kade/keermuur</t>
  </si>
  <si>
    <t>Kade/Keermuur</t>
  </si>
  <si>
    <t>beton, 30% granulaat</t>
  </si>
  <si>
    <t>Elementen varianten</t>
  </si>
  <si>
    <t>natuurlijk (wiepen)</t>
  </si>
  <si>
    <t xml:space="preserve">Technische levensduur </t>
  </si>
  <si>
    <t>Wit = Geen data beschikbaar</t>
  </si>
  <si>
    <t>90-100%</t>
  </si>
  <si>
    <t xml:space="preserve">&gt; +0,9 tot +1,0 beter dan gemiddeld = donkergroen </t>
  </si>
  <si>
    <t>&gt; +0,2 tot 0,9 beter dan gemiddeld = lichtgroen</t>
  </si>
  <si>
    <t xml:space="preserve">&gt; van -0,2 tot + 0,2 onder en hoger dan gemiddeld = lichtgeel. </t>
  </si>
  <si>
    <t>&gt; van -0,2 tot -0,7 = donkergeel</t>
  </si>
  <si>
    <t>&gt; Lager dan -1,0 onder het gemiddelde = rood</t>
  </si>
  <si>
    <t>&gt; van -0,7 tot -1,0 = lichtrood</t>
  </si>
  <si>
    <t>-20% tot 20%</t>
  </si>
  <si>
    <t>20-90%</t>
  </si>
  <si>
    <t>-20 tot -70%</t>
  </si>
  <si>
    <t>-70% tot -100%</t>
  </si>
  <si>
    <t>0,9-1,0</t>
  </si>
  <si>
    <t>0,2-0,9</t>
  </si>
  <si>
    <t>-0,2 tot 0,2</t>
  </si>
  <si>
    <t>-0,2 tot -0,7</t>
  </si>
  <si>
    <t>-0,7 tot 1,0</t>
  </si>
  <si>
    <t>-1,0 of hoger</t>
  </si>
  <si>
    <t>Meer dan -100%</t>
  </si>
  <si>
    <t>Delta levensduur</t>
  </si>
  <si>
    <t xml:space="preserve">!) Aanname: wanddikte bron en HDSR zijn gelijk (wanddikte bij bron onvermeld); </t>
  </si>
  <si>
    <t xml:space="preserve">Materialen zonder gemarkeerde levensduur kunnen langer meegaan dan het Element cq Bouwdeel. Deze materialen hebben in principe een restlevensduur. 
</t>
  </si>
  <si>
    <t>MKI [€] totaal</t>
  </si>
  <si>
    <t>Cement Bentonietwanden</t>
  </si>
  <si>
    <t>MKI van één levenscyclus</t>
  </si>
  <si>
    <t>MKI (€) één levenscyclus</t>
  </si>
  <si>
    <t>MKI / jaar
(levensduur in project)</t>
  </si>
  <si>
    <t>Biobound betonstraatstenen</t>
  </si>
  <si>
    <t>LCA Biobound</t>
  </si>
  <si>
    <t>Biobound betonstraatstenen, 10 cm dik</t>
  </si>
  <si>
    <t>Biobound betontegels</t>
  </si>
  <si>
    <t>Biobound betontegels, 8 cm dik</t>
  </si>
  <si>
    <t>Filterlaag grind</t>
  </si>
  <si>
    <t>Geen MKI-winst, maar gunstig tegen plastic vervuiling (t.o.v. geotextiel)</t>
  </si>
  <si>
    <t>Prolock filterscherm</t>
  </si>
  <si>
    <t>DUURZAME ALTERNATIEVEN</t>
  </si>
  <si>
    <t xml:space="preserve">beton 30% granulaat </t>
  </si>
  <si>
    <r>
      <t xml:space="preserve">Let op: onverwarmd;
</t>
    </r>
    <r>
      <rPr>
        <b/>
        <sz val="10"/>
        <color theme="1"/>
        <rFont val="Arial"/>
        <family val="2"/>
      </rPr>
      <t xml:space="preserve"> Let op! Onzekere MKI, zie bron  </t>
    </r>
  </si>
  <si>
    <t>Let op: Items met lichtroze markering hebben een onzekere MKI die in de toekomst significant kan veranderen</t>
  </si>
  <si>
    <r>
      <t xml:space="preserve">De kleurenscore is gekoppeld aan een berekening en wordt in drie stappen bepaald.
</t>
    </r>
    <r>
      <rPr>
        <b/>
        <sz val="9"/>
        <color theme="1"/>
        <rFont val="Arial"/>
        <family val="2"/>
      </rPr>
      <t xml:space="preserve">Stap 1) 
</t>
    </r>
    <r>
      <rPr>
        <sz val="9"/>
        <color theme="1"/>
        <rFont val="Arial"/>
        <family val="2"/>
      </rPr>
      <t xml:space="preserve">De gemiddelde MKI score wordt berekend van alle materiaaltypen </t>
    </r>
    <r>
      <rPr>
        <i/>
        <sz val="9"/>
        <color theme="1"/>
        <rFont val="Arial"/>
        <family val="2"/>
      </rPr>
      <t xml:space="preserve">binnen </t>
    </r>
    <r>
      <rPr>
        <sz val="9"/>
        <color theme="1"/>
        <rFont val="Arial"/>
        <family val="2"/>
      </rPr>
      <t>een specifiek elementen c.q. bouwdeel, bijv. damwandplanken.</t>
    </r>
    <r>
      <rPr>
        <b/>
        <sz val="9"/>
        <color theme="1"/>
        <rFont val="Arial"/>
        <family val="2"/>
      </rPr>
      <t xml:space="preserve">
Stap 2)
</t>
    </r>
    <r>
      <rPr>
        <sz val="9"/>
        <color theme="1"/>
        <rFont val="Arial"/>
        <family val="2"/>
      </rPr>
      <t xml:space="preserve">Vervolgens wordt het percentage berekend waarmee de MKI van een specifiek materiaal afwijkt van de gemiddelde MKI uit stap 1. Bijvoorbeeld: de gemiddelde MKI score voor damwandplanken is € 2 (de eenheid van MKI is Euro). Houtendamwanden zijn € 1 en zijn daarmee 50% beter dan gemiddeld. Stalen damwanden zijn € 4 en zijn daarmee 100% slechter dan gemiddeld (-100%). Dit percentage wordt vervolgens uitgedrukt in een score van -1 tot 1 (-1,0, ofwel -100%, is minstens 2x hoger dan gemiddeld, +1,0, ofwel +100%, is 2x lager dan gemiddeld)
</t>
    </r>
    <r>
      <rPr>
        <b/>
        <sz val="9"/>
        <color theme="1"/>
        <rFont val="Arial"/>
        <family val="2"/>
      </rPr>
      <t xml:space="preserve">Stap 3)
</t>
    </r>
    <r>
      <rPr>
        <sz val="9"/>
        <color theme="1"/>
        <rFont val="Arial"/>
        <family val="2"/>
      </rPr>
      <t>Via een formule met conditionele opmaak worden de percentages gekleurd volgens onderstaande legenda. Deze legenda kan aangepast worden indien gewenst..</t>
    </r>
  </si>
  <si>
    <t>MKI / jaar</t>
  </si>
  <si>
    <t>Dit blad maakt gebruik van de data uit de tabbladen "Database" en "MKI-waarden"</t>
  </si>
  <si>
    <t>DOSmaatje</t>
  </si>
  <si>
    <t xml:space="preserve">Materialenwijzer voor duurzame opdrachtgevers </t>
  </si>
  <si>
    <t>Gunstige score door lange levensduur en uitgangspunt stortsteen</t>
  </si>
  <si>
    <t>O.b.v. 3 cm overdikte</t>
  </si>
  <si>
    <t>Naam Dubocalc item</t>
  </si>
  <si>
    <t>Een score van 0,9 tot 1,0 = beter dan gemiddeld  
donkergroen (+90 tot +100%)</t>
  </si>
  <si>
    <t>Een score van 0,2 tot 0,9 = beter dan gemiddeld 
lichtgroen (+20 tot +90%)</t>
  </si>
  <si>
    <t>Een score van -0,2 tot 0,2 = rond gemiddeld 
lichtgeel. (-20 tot +20%)</t>
  </si>
  <si>
    <t>Een score van -0,2 tot -0,7 = onder het gemiddelde 
donkergeel (-20 tot -70%)</t>
  </si>
  <si>
    <t>Een score van -0,7 tot tot -1,0 = onder het gemiddelde  
lichtrood (-70 tot -100%)</t>
  </si>
  <si>
    <t xml:space="preserve">Lager dan -1,0 = onder het gemiddelde 
rood (-100%) </t>
  </si>
  <si>
    <t>Inleiding</t>
  </si>
  <si>
    <t>Tabblad</t>
  </si>
  <si>
    <t>Inhoud</t>
  </si>
  <si>
    <t>Database</t>
  </si>
  <si>
    <t>MKI-waarden</t>
  </si>
  <si>
    <t>Uitleg referentie</t>
  </si>
  <si>
    <t>Toelichting kleurcode</t>
  </si>
  <si>
    <t>Instructies voor gebruik</t>
  </si>
  <si>
    <t>STAP 1 - Selecteren object</t>
  </si>
  <si>
    <t>Hier kun je het object selecteren waarvan je het meest duurzame materiaal wilt weten.
Wis het lichtgele veld door erop te klikken en de 'delete' knop in te toetsen op de toetsenbord. Vervolgens kun je met je cursor aan de rechterzijde van het lichtgele veld een pulldown menu aanklikken. Wanneer je hier klikt, verschijnt de lijst met objecten die in deze database zijn opgenomen. Selecteer het gewenste object door erop te klikken.</t>
  </si>
  <si>
    <t>STAP 2 - selecteren bouwdeel of element</t>
  </si>
  <si>
    <t>STAP 3 - functionele levensduur van het object in het project</t>
  </si>
  <si>
    <t>Kolom materiaal varianten</t>
  </si>
  <si>
    <t>Kolom technische levensduur</t>
  </si>
  <si>
    <t>Kolom functionele levensduur</t>
  </si>
  <si>
    <t>Kolom Relatieve score MKI</t>
  </si>
  <si>
    <t>In het grijze vlak rechts van de uitvoer tabel staan de gegevens waarop de invoer is gebaseerd. Het zijn uitgangspunten die ervoor zorgen dat de juiste vergelijking wordt gemaakt. Voor alle elementen is een referentie constructie genomen als uitgangspunt met een bepaald materiaal. Vervolgens is voor deze constructies een inschatting gemaakt van de afmetingen wanneer het uit andere materialen zou bestaan, waardoor de afmetingen zoals bjvoorbeeld wanddikte veranderen, omdat de sterkte en stijfheid van een materiaal anders zijn.
Omdat met een referentie constructie gewerkt is, is het verschil in eigenschappen van een materiaal meegenomen en is de vergelijking van de verschillende materialen altijd realistisch. Je hebt nu eenmaal meer dikte nodig voor een houten damwandplank dan voor een stalen damwandplank. Hierbij dient opgemerkt te worden dat sommige diktes die uit de berekening komen niet realistisch zijn of verkrijgbaar zijn. De diktes dienen alleen om de verhouding te bepalen. DOSmaatje is geen ontwerptool om de dimensies van een constructie te bepalen.</t>
  </si>
  <si>
    <t>Hier is de dikte weergegeven op basis waarvan de MKI is bepaald. Deze dikte geeft de dikte van dit materiaal die nodig is om aan het referentieontwerp te voldoen</t>
  </si>
  <si>
    <t>Hier is de diameter weergegeven op basis waarvan de MKI waarde is bepaald</t>
  </si>
  <si>
    <t>In deze kolom is de eenheid weergegeven die is gehanteerd in het referentie ontwerp. In veel gevallen gaat het om m2, maar in bepaalde gevallen, zoals buizen en leidingen gaat het om strekkende meters.</t>
  </si>
  <si>
    <t>MKI opsplitsing</t>
  </si>
  <si>
    <t>Unieke code</t>
  </si>
  <si>
    <t>Basis van DOSmaatje. Hier kun je je te realiseren object invoeren en zie je de resultaten en meest duurzame keuze. Ook is hier weergegeven wat de uitgangspunten zijn geweest.</t>
  </si>
  <si>
    <t>Uitleg Invoer</t>
  </si>
  <si>
    <t>Uitleg Uitvoer</t>
  </si>
  <si>
    <t>Uitleg over hoe de output verkregen wordt en hoe deze geinterpreteerd moet worden. De uitvoer is het advies van DOSmaatje</t>
  </si>
  <si>
    <t>In het blad uitleg referentie is een toelichting gegeven op het referentie deel in het tabblad keuzelijst. Dit is het grijze deel van het tabblad en hier staan de uitgangspunten weergegeven.</t>
  </si>
  <si>
    <t>In dit tabblad is de onderbouwing van de mki score te vinden. Ook een uitsplitsing naar levensfase.</t>
  </si>
  <si>
    <t>In het tabblad toelichting kleurcode is een nadere toelichting gegeven op de relatieve MKI-score en de percentages die zijn gehanteerd.</t>
  </si>
  <si>
    <t>Tips en aandachtpunten</t>
  </si>
  <si>
    <t>Naast het toepassen van DOSmaatje hebben we wat tips om duurzaamheid binnen je project een grotere rol te laten spelen:</t>
  </si>
  <si>
    <t>In DOSmaatje is geen rekening gehouden met de restlevensduur van materialen, je kunt de impact van je project beperken door al in het begin na te denken over mogelijke toepassing van je materiaal wanneer de functionele levensduur korter is dan de technische.</t>
  </si>
  <si>
    <t>Wat doe je met materialen die vrijkomen maar nog een restlevensduur hebben: zorg dat hergebruik wordt meegenomen in je project;</t>
  </si>
  <si>
    <t>Probeer zoveel mogelijk hergebruikte materialen toe te passen, deze hebben een veel kleinere milieubelasting tot gevolg;</t>
  </si>
  <si>
    <t>In deze kolom is de vereiste functionele levensduur weergegeven van het element. Dit is het aantal jaar dat is ingevoerd in stap 3 bij invoer.</t>
  </si>
  <si>
    <t xml:space="preserve">In deze kolom is de milieu impact per jaar berekend op basis van alle levensstadia van het materiaal. De milieu impact is gedeeld door het aantal jaren dat de constructie mee moet gaan (vereiste functionele levensduur). Indien de vereiste functionele levensduur langer is dan de technische levensduur, wordt ook het aantal benodigde vervangingen meegenomen en de hele levenscyclus per vervanging. </t>
  </si>
  <si>
    <t>Deze kolom bevat een link naar het blad MKI-Waarden naar het specifieke materiaal. Hier kun je zien hoe de MKI waarde is bepaald, op basis van welke levenscyclus fasen en welk aandeel van de MKI waar vandaan komt. Je kunt zien welke levensfase van het materiaal het meest bijdraagt aan de milieu impact. Bijvoorbeeld de productie, of juist het transport.</t>
  </si>
  <si>
    <r>
      <t xml:space="preserve">Beste collega,
Dit is het DOSmaatje. DOSmaatje gaat je helpen bij het maken van een duurzame materiaalkeuze binnen je project. Met deze tool kun je meerdere materialen met elkaar vergelijken op basis van de milieuimpact die het materiaal heeft. 
DOSmaatje geeft input voor een goed gesprek binnen het projectteam en dient om inzicht te geven aan bijvoorbeeld de beheerder waarom een bepaalde materiaalkeuze is gemaakt. 
DOSmaatje is gebaseerd op waarden uit Dubocalc </t>
    </r>
    <r>
      <rPr>
        <b/>
        <sz val="10"/>
        <color theme="1"/>
        <rFont val="Arial"/>
        <family val="2"/>
      </rPr>
      <t xml:space="preserve">versie 5.1 en 6.0 </t>
    </r>
    <r>
      <rPr>
        <sz val="10"/>
        <color theme="1"/>
        <rFont val="Arial"/>
        <family val="2"/>
      </rPr>
      <t>en zal wanneer een nieuwere versie verschijnt, worden aangepast.</t>
    </r>
  </si>
  <si>
    <t xml:space="preserve">Denk na over de functionele levensduur van wat je gaat maken. Hoe sluit deze aan bij de technische levensduur van het materiaal dat je toepast;
</t>
  </si>
  <si>
    <t>Uitleg over de benodigde invoer, hoe je dit doet.</t>
  </si>
  <si>
    <r>
      <rPr>
        <b/>
        <sz val="14"/>
        <color theme="1"/>
        <rFont val="Arial"/>
        <family val="2"/>
      </rPr>
      <t xml:space="preserve">KEUZELIJST
</t>
    </r>
    <r>
      <rPr>
        <b/>
        <sz val="20"/>
        <color theme="1"/>
        <rFont val="Arial"/>
        <family val="2"/>
      </rPr>
      <t xml:space="preserve">
DOSmaatje</t>
    </r>
  </si>
  <si>
    <t>UITLEG INVOER</t>
  </si>
  <si>
    <t>In dit veld kun je aangeven hoe lang het object moet functioneren.
Typ in het lichtgele vakje het aantal jaren dat het object binnen het project moet functioneren (gewenste levensduur) en toets 'enter' op je toetsenbord.
Dit veld is van belang, omdat op basis hiervan samen met de technische levensduur van het element, wordt berekend hoe vaak een element moet worden vervangen en productie, transport, verwerking en afvoer moet worden meegerekend.
Ter controle: Wanneer je het aantal jaren hebt ingevuld dat je object moet meegaan, zie je achter de materialen die zijn verschenen aan de rechterzijde dat de rij met technische levensduur een kleur krijgt of wit blijft afhankelijk van de levensduur. Ook zie je dat in de kolom van de functionele levensduur het aantal jaren zichtbaar wordt dat je onder stap 3 hebt ingevuld. In de kolom aantal vervangingen verschijnt een getal indien de gevraagde levensduur de technische levensduur van een materiaal overstijgt.</t>
  </si>
  <si>
    <t>UITLEG UITVOER</t>
  </si>
  <si>
    <t xml:space="preserve">Wanneer stap 1 t/m 3 zijn ingevuld, is aan de rechterzijde de tabel met de resultaten te zien. Deze tabel laat voor het geselecteerde element bij de vereiste functionele levensduur zien hoe duurzaam de materialen in onderlinge verhouding zijn. De resultaten van deze tabel dienen ter bespreking in het projectteam en om een materiaalkeuze te onderbouwen. Er kunnen geen waarden in de vorm van getallen aan deze tool ontleend worden. </t>
  </si>
  <si>
    <t>In deze kolom verschijnen alle materialen waarin het geselecteerde element/bouwdeel kan worden uitgevoerd. De materialen zijn gekoppeld aan de elementen/bouwdelen en kunnen niet handmatig worden aangepast. Wanneer een wijziging moet worden aangebracht, of materiaal moet worden verwijderd of toegevoegd, word je verzocht dit door te geven via dos@hdsr.nl</t>
  </si>
  <si>
    <t>In deze kolom is de technische levensduur van het bouwdeel per materiaal weergegeven. De technische levensduur is ingeschat op basis van ervaring door specialisten van HDSR. Deze kolom is niet aan te passen. 
Wanneer een vakje geel kleurt, is de technische levensduur korter dan de vereiste levensduur. Dat betekent dat tijdens de gebruiksfase het element of bouwdeel vervangen moet worden.
Wanneer het groen kleurt, komt de technische levensduur overeen met de vereiste levensduur. 
Wanneer het vakje niet kleurt, is de technische levensduur langer dan de vereiste levensduur en is het geschikt voor hergebruik, of wordt niet zo efficient mogelijk gebruik gemaakt van het element. We adviseren in dit geval dan al na te denken over een toepassing voor hergebruik van het materiaal.</t>
  </si>
  <si>
    <t>In deze kolom is op basis van de technische levensduur en de vereiste functionele levensduur berekend hoe vaak een element vervangen moet worden tijdens zijn levensduur, omdat de kwaliteit van het materiaal niet meer voldoende is.
Er zijn hele vervangingen weergegeven, dus wanneer de technische levensduur in de eerste vervanging korter is dan de functionele levensduur, telt 1 volledige vervanging mee. Het aantal vervangingen heeft invloed op de relatieve MKI score en is hierin verwerkt. Het aantal benodigde vervangingen geeft ook inzicht in mogelijke overlast of extra werkzaamheden die moeten worden uitgevoerd wanneer voor een materiaal met een kortere technische levensduur wordt gekozen. Het aantal vervangingen kan als input dienen voor het gesprek over de toe te passen materialen.</t>
  </si>
  <si>
    <r>
      <t xml:space="preserve">In deze kolom is de relatieve MKI score weergegeven. MKI staat voor milieu kosten indicator en is een eenheid waarin je de milieuimpact van materialen kunt uitdrukken en onderling vergelijken. De relatieve MKI score die in deze kolom is weergegeven, is een weging die is toegekend aan het materiaal op basis van de gemiddelde MKI van alle materialen waaruit voor dit specifieke bouwdeel of element kan worden gekozen. Omdat de gemiddelde waarde wordt bepaald op basis van de MKI data voor de verschillende materialen van het element, zal de gemiddelde waarde per element verschillen en dus zijn ook de percentages die zijn weergegeven relatief. De waarden zijn daarom ook niet bruikbaar als absolute waarde, maar dienen echt om de onderlinge verhoudingen weer te geven binnen een element.
De gemiddelde waarde van de materialen waarin dit element beschikbaar is, heeft de waarde '0'. Alles beter dan 0 kleurt van lichtgeel via lichtgroen naar donkergroen. Alles slechter dan het gemiddelde kleurt via lichtgeel naar rood. De waarden die zijn gegeven dienen enkel voor onderling vergelijk. In het tabblad 'Toelichting kleurcode' is verdere uitleg gegeven over de kleurenscore. 
De MKI data die is gebruikt om de gemiddelde score te bepalen, is gebaseerd op DuboCalc versie </t>
    </r>
    <r>
      <rPr>
        <b/>
        <sz val="10"/>
        <color rgb="FF000000"/>
        <rFont val="Arial"/>
        <family val="2"/>
      </rPr>
      <t>5.1 en 6.0</t>
    </r>
    <r>
      <rPr>
        <sz val="10"/>
        <color theme="1"/>
        <rFont val="Arial"/>
        <family val="2"/>
      </rPr>
      <t>. De gekozen MKI is in de meeste gevallen ook behorend bij het element en materiaal in DuboCalc. In sommige gevallen was deze data nog niet beschikbaar in DuboCalc en heeft omrekening plaatsgevonden via een ander element. In de gebruikte MKI waarde zijn alle stadia van een levenscyclus van het materiaal meegenomen. In het tabblad MKI-waarden kun je dit nazien.</t>
    </r>
  </si>
  <si>
    <t>Uitleg Referentie</t>
  </si>
  <si>
    <t>Uitgangspunten die extra aandacht verdienen, zijn hier weergegeven. Bijvoorbeeld of iets wel of niet is meegenomen in de bepaling van de MKI, zoals bijvoorbeeld conservering</t>
  </si>
  <si>
    <t>In deze kolom is weergegeven welk materiaal is gebruikt uit de DuboCalc database om de MKI waarde in DOSmaatje te bepalen. Dit dient met name om bij updates van DuboCalc te kunnen achterhalen welke materialen moeten worden aangepast om de nieuwste data te gebruiken.</t>
  </si>
  <si>
    <t>Deze code kan gebruikt worden om het materiaal en element terug te vinden in de database. Heeft verder geen waarde in de berekeningen.</t>
  </si>
  <si>
    <t>Je start in het tabblad 'invoer en resultaat'. Het linker deel van het tabblad bevat een witte tabel. Hier kun je je te realiseren object kiezen en worden de materialen en milieubelasting zichtbaar. Aan de rechterzijde is een grijs deel opgenomen. In dit deel bevinden zich de gegevens die als uitgangspunt hebben gediend. 
Onderstaand invulmenu is in het tabblad 'Invoer en resultaat' terug te vinden.</t>
  </si>
  <si>
    <t>Invoer en resultaat</t>
  </si>
  <si>
    <t>Lijst met alle objecten en materialen die de basis van de invoer is</t>
  </si>
  <si>
    <t>Uitleg Kleurenscore relatieve MKI</t>
  </si>
  <si>
    <t>Om het keuze menu groter te maken --&gt; Control + Scroll (muis)</t>
  </si>
  <si>
    <t>Kokosvezeldoek</t>
  </si>
  <si>
    <t>Combi-plank gerecycled kunststof en Europees naaldhout</t>
  </si>
  <si>
    <t>kunststof deel = 0,6mdik</t>
  </si>
  <si>
    <t>Damwand, tropisch hardhout, damwandplanken</t>
  </si>
  <si>
    <t>Damwanden, Europees naaldhout, damwandplanken</t>
  </si>
  <si>
    <t>Damwanden, Europees naaldhout, gording</t>
  </si>
  <si>
    <t>Damwanden, tropisch hardhout, gording</t>
  </si>
  <si>
    <t>1x1x0,06</t>
  </si>
  <si>
    <t>0,15x0,15x1</t>
  </si>
  <si>
    <t>25,1 kg /m2</t>
  </si>
  <si>
    <t>Damwand Staal, constructiestaal</t>
  </si>
  <si>
    <t>Damwand Twinwood 80% EU naaldhout, 20% azobe hardhout</t>
  </si>
  <si>
    <t>6.1</t>
  </si>
  <si>
    <t>dikte met palen is 120 mm</t>
  </si>
  <si>
    <t>o.b.v. ProLock Omega met naaldhouten palen van 5 m1. Palen zijn weggerekend op basis van info uit het LCA rapport waaruit blijkt dat per kg, de palen verantwoordelijk zijn voor ongeveer 15% van de totale impact over de gehele levenscyclus</t>
  </si>
  <si>
    <t xml:space="preserve">Zachthout (Europees naaldhout) </t>
  </si>
  <si>
    <t>o.b.v. Damwandplanken Europees Naaldhout</t>
  </si>
  <si>
    <t>Houten lariks paal met betonopzetter</t>
  </si>
  <si>
    <t>Betonopzetter weegt 420,82 kg/st</t>
  </si>
  <si>
    <t xml:space="preserve">350x350 mm </t>
  </si>
  <si>
    <t>Gewolmaniseerd hout (naaldhout)</t>
  </si>
  <si>
    <t>soortelijk gewicht 7200 kg / m3 
15,9 kg /m1 leiding</t>
  </si>
  <si>
    <t>uit de NMD viewer</t>
  </si>
  <si>
    <t xml:space="preserve">1950 kg / m3 </t>
  </si>
  <si>
    <t xml:space="preserve">300 mm dik </t>
  </si>
  <si>
    <t>Funderingslaag Menggranulaat 300mm</t>
  </si>
  <si>
    <t>Metalliseersysteem voor staalconstructies</t>
  </si>
  <si>
    <t xml:space="preserve">Waterleiding gietijzer 100mm </t>
  </si>
  <si>
    <t>heipaal: beton, prefab , 350x350 mm, Betonhuis</t>
  </si>
  <si>
    <t>Funderingspaal met C20/25 0% betongranulaat Lafgarge Holcim Limburg</t>
  </si>
  <si>
    <t>Vlechtscherm, zachthout (o.b.v. Europees Naaldhout planken)</t>
  </si>
  <si>
    <t>Ophoogmateriaal, EPS</t>
  </si>
  <si>
    <t>Damwand PVC Gerecycled, enkel scherm (ProLock, Omega)</t>
  </si>
  <si>
    <t>Damwand, kunststof vezelversterkt</t>
  </si>
  <si>
    <t>Ophoogmateriaal, zand</t>
  </si>
  <si>
    <t>392 kg</t>
  </si>
  <si>
    <t>Bekleding, kunststof grastegels grids (HPDE)</t>
  </si>
  <si>
    <t>9,6 kg / m2</t>
  </si>
  <si>
    <t>Buitenbeglazing, Dubbel glas; droog beglaasd</t>
  </si>
  <si>
    <t>Ophoogmateriaal klei</t>
  </si>
  <si>
    <t>Ophoogmateriaal klei, paal, per m1</t>
  </si>
  <si>
    <t>Leuning, Europees naaldhout, duurzame bosbouw</t>
  </si>
  <si>
    <t>0,9 m1 hoog</t>
  </si>
  <si>
    <t>19kg /m1</t>
  </si>
  <si>
    <t>Op categorie 3 data zit 30% toeslag, volgens de rekenregels van het NMD. Zie kolom K</t>
  </si>
  <si>
    <t>Dubbelwandige PP buis, 4,4 kg / m1</t>
  </si>
  <si>
    <t>RVS plaat, 1x1, 4 mm dik</t>
  </si>
  <si>
    <t>550 kg / m3</t>
  </si>
  <si>
    <t>40 cm (400 mm)</t>
  </si>
  <si>
    <t>,</t>
  </si>
  <si>
    <t>diameter 100mm uitwendig, 15,9kg/m1</t>
  </si>
  <si>
    <t>23 kg</t>
  </si>
  <si>
    <t>Om de resultaten kleiner te maken --&gt; Control + Scroll (muis)</t>
  </si>
  <si>
    <t>Damwand PE nieuw</t>
  </si>
  <si>
    <t>Damwand PE gerecycled</t>
  </si>
  <si>
    <t xml:space="preserve">PE vs PVC, ruw materiaal scheelt een factor 0,2 (PE is 20% minder belastend). De productie impact is vermenigvuldigd met factor 0,8. A4-D is gelijk aan de PVC damwand nieuw. </t>
  </si>
  <si>
    <t>gerecycled kunstst = 0 MKI (NMD). PE PE gerecyclede damwand gelijk aan PVC gerecyclede damwand: aanname. Wel + 30% vanwege cat 3</t>
  </si>
  <si>
    <t>Kunststof: gerecycled PE</t>
  </si>
  <si>
    <t>6,1+NMD3.4</t>
  </si>
  <si>
    <t>6,1+NMD3.5</t>
  </si>
  <si>
    <t>6,1+NMD3.6</t>
  </si>
  <si>
    <t xml:space="preserve">407 kg / m3 </t>
  </si>
  <si>
    <t>Gerecycled kunststof</t>
  </si>
  <si>
    <t>Damwand, gerecycled kunststof, gording</t>
  </si>
  <si>
    <t>Damwand, kunststof vezelversterkt, gording</t>
  </si>
  <si>
    <t>Reflectorpalen PE</t>
  </si>
  <si>
    <t>Grout injectielaag</t>
  </si>
  <si>
    <t>0,8 m3</t>
  </si>
  <si>
    <t>Enkel beschikbaar in NMD viewer</t>
  </si>
  <si>
    <t>Injectielaag</t>
  </si>
  <si>
    <t>Natuursteen, breuksteen</t>
  </si>
  <si>
    <t>Referentie vlechtscherm van hardhout is 4x dunner dan vlechtscherm van wilgentenen</t>
  </si>
  <si>
    <t>Funderingspalen, Stalen buispaal rond, 0% granulaat, 323,9 mm d</t>
  </si>
  <si>
    <t>Buispaal, Staal</t>
  </si>
  <si>
    <t>wanddikte 5,63 mm. d = 101,6mm</t>
  </si>
  <si>
    <t xml:space="preserve">Aanvullend is binnendiameter buis, uitgangspunt is m3 / m1 </t>
  </si>
  <si>
    <t>Straatbaksteen GWW, KNB</t>
  </si>
  <si>
    <t>Betonmortel C30/37 (CEMIII) 2386 kgm3</t>
  </si>
  <si>
    <t>2386 kg / m3</t>
  </si>
  <si>
    <t xml:space="preserve">0,9 m1 hoog </t>
  </si>
  <si>
    <t>Referentie stalen leuning is 2 x zo dun als hardhout, dikte is diameter</t>
  </si>
  <si>
    <t>Berekend op basis MKI per m3 Europees naaldhout, damwandplanken</t>
  </si>
  <si>
    <t>Kolommen, aluminium, per kg constructiegewicht.</t>
  </si>
  <si>
    <t>dichtheid 2700 kg / m3</t>
  </si>
  <si>
    <t>Keramiek leidingen, gresbuis klein</t>
  </si>
  <si>
    <t xml:space="preserve">8960 kg / m3 </t>
  </si>
  <si>
    <t>Hemelwaterafvoer, koper, d = 80 mm, wd = 0,65 mm</t>
  </si>
  <si>
    <t>d in = 80 mm</t>
  </si>
  <si>
    <t>d totaal = 0,08065</t>
  </si>
  <si>
    <t xml:space="preserve">0,00032805 m3 / m1 </t>
  </si>
  <si>
    <t>Let op! onzekere MKI</t>
  </si>
  <si>
    <t>Smart Vislift (gerecycled GVK kunststof)</t>
  </si>
  <si>
    <t>Waterleiding bamboe, 100mm</t>
  </si>
  <si>
    <t>diameter 100 mm uitwendig, wanddikte = 5 mm,
dichtheid = 1160 kg / m3 
gewicht = 4,2108 kg / m1
volume per m1 = 0,0030630</t>
  </si>
  <si>
    <t xml:space="preserve">Rooster RVS </t>
  </si>
  <si>
    <t xml:space="preserve">Rooster Staal </t>
  </si>
  <si>
    <t>Rooster Kunststof GVK</t>
  </si>
  <si>
    <t xml:space="preserve">Polypropyleen weefsel gewapend </t>
  </si>
  <si>
    <t>0,5 kg / m2</t>
  </si>
  <si>
    <t>0,3 kg / m2</t>
  </si>
  <si>
    <t>20% wiepen, 80% woven pp</t>
  </si>
  <si>
    <t>Getordeerde zuil (o.b.v. Basalton)</t>
  </si>
  <si>
    <t>Hoogte = 0,35, incl. veegsplit</t>
  </si>
  <si>
    <t>basaltblokken (basalton)</t>
  </si>
  <si>
    <t>Duiker PVC</t>
  </si>
  <si>
    <t>Duiker PE</t>
  </si>
  <si>
    <t>Buitendiameter, 40 cm, 15 kg / m1</t>
  </si>
  <si>
    <t>Duiker GVK</t>
  </si>
  <si>
    <t xml:space="preserve">Duiker Staal; kg </t>
  </si>
  <si>
    <t>Duiker Staal; 300 mm, 0,005 m</t>
  </si>
  <si>
    <t>Duiker Staal, 1000 mm, 0,015 m</t>
  </si>
  <si>
    <t>Buitendiameter van 1000mm wanddikte 1,5mm, aanvullend = kg / m3</t>
  </si>
  <si>
    <t>per kg</t>
  </si>
  <si>
    <t>hdpe, wanddikte 10 mm</t>
  </si>
  <si>
    <t>hdpe, wanddikte 30 mm</t>
  </si>
  <si>
    <t>pvc, wanddikte 9 mm</t>
  </si>
  <si>
    <t>staal, wanddikte 5 mm</t>
  </si>
  <si>
    <t>beton, wanddikte 70 mm</t>
  </si>
  <si>
    <t>Buitendiameter van 300mm wanddikte van 0,005m, aanvullend = kg/m3</t>
  </si>
  <si>
    <t>Duiker beton, 1000 mm, 1488 kg / m1</t>
  </si>
  <si>
    <t xml:space="preserve">0,64 m3 / m1 </t>
  </si>
  <si>
    <t>Goot, pet</t>
  </si>
  <si>
    <t>Goot, staal</t>
  </si>
  <si>
    <t>Goot, beton</t>
  </si>
  <si>
    <t>!) Aanname: afmetingen bron en HDSR zijn gelijk (wanddikte bij bron onvermeld)</t>
  </si>
  <si>
    <t>Op basis van kunststof grastegels van 5 cm dik</t>
  </si>
  <si>
    <t>Drainbuis, kokosvezels</t>
  </si>
  <si>
    <t>uitwendige diameter 125mm</t>
  </si>
  <si>
    <t>uitwendige diameter 125mm, 0,59kg // m1</t>
  </si>
  <si>
    <t>kunststof met kokosvezels</t>
  </si>
  <si>
    <t>Drainbuis, PP450 vezels</t>
  </si>
  <si>
    <t>Bamboe, o.b.v. verkeersbord</t>
  </si>
  <si>
    <t>bio based buis (bamboe vezels)</t>
  </si>
  <si>
    <t>behandeld met lijm en folie voor conservering</t>
  </si>
  <si>
    <t>cement bentoniet</t>
  </si>
  <si>
    <t>grofzandbarrière</t>
  </si>
  <si>
    <t>Gaashekwerk</t>
  </si>
  <si>
    <t>Staafmathekwerk</t>
  </si>
  <si>
    <t>staafmathekwerk (verzinkt staal)</t>
  </si>
  <si>
    <t>gaashekwerk (verzinkt staal)</t>
  </si>
  <si>
    <t>1,2 mn hoog</t>
  </si>
  <si>
    <t>2 m hoog</t>
  </si>
  <si>
    <t>1,2 m hoog</t>
  </si>
  <si>
    <t>spouw = 6 cm</t>
  </si>
  <si>
    <t>op basis van HDPE tegels</t>
  </si>
  <si>
    <t>Dakpannen, 30 mm, op stalen profielen</t>
  </si>
  <si>
    <t>30 mm</t>
  </si>
  <si>
    <t>Bitumen gemod. Tweelaags, 6,9 mm 8,7 kg /m2 gekleefd brandmethode</t>
  </si>
  <si>
    <t>kunststof (pp) gerecycled</t>
  </si>
  <si>
    <t>Afrasteringspaal, kastanjehout</t>
  </si>
  <si>
    <t>A1-A3 op basis hardhoutplanken per m3, A4-D o.b.v. Faunawood (hardhouten) paal</t>
  </si>
  <si>
    <t>A1-A3 op basis kastanjehout (SimaPro), A4-D o.b.v. Faunawood (hardhouten) paal</t>
  </si>
  <si>
    <t>Afrasteringspaal, kunststof gerecycled</t>
  </si>
  <si>
    <t>dikte is diameter/afmeting, 1 m1 lengte</t>
  </si>
  <si>
    <t>Afrasteringspaal, hardhout, 1,8 m1</t>
  </si>
  <si>
    <t>Afrasteringspaal, naaldhout, 3 m1</t>
  </si>
  <si>
    <t>1 paal per m1, van 1 m1 lang</t>
  </si>
  <si>
    <t>Holle buis met diameter: 100 mm , 1 m1 lengte</t>
  </si>
  <si>
    <t>o.b.v. kunststof recycling algemeen</t>
  </si>
  <si>
    <t>gewapend rubber (chloropreen met staal)</t>
  </si>
  <si>
    <t>Gewapend rubber (chloropreen met staal)</t>
  </si>
  <si>
    <t xml:space="preserve">kg </t>
  </si>
  <si>
    <t>(toepassing landinwaarts: zoetwater)</t>
  </si>
  <si>
    <t>Thermisch verzinken, toepassing landinwaarts</t>
  </si>
  <si>
    <t>85 micron</t>
  </si>
  <si>
    <t>thermisch verzinken, landinwaarts</t>
  </si>
  <si>
    <t>metalliseren (zink-alu legering) gespoten</t>
  </si>
  <si>
    <t>natlaksysteem gespoten</t>
  </si>
  <si>
    <t>(toepassing kustgebieden: zoutwater)</t>
  </si>
  <si>
    <t>thermisch verzinken, kustgebied</t>
  </si>
  <si>
    <t>Thermisch verzinken, toepassing kustgebied</t>
  </si>
  <si>
    <t>Damwand PCV nieuw</t>
  </si>
  <si>
    <t>Let op. Conservering of Kathodische Bescherming niet meegenomen</t>
  </si>
  <si>
    <t>Basalt (o.b.v. veegsplit)</t>
  </si>
  <si>
    <t xml:space="preserve">2000 kg / m3 </t>
  </si>
  <si>
    <t>Bekleding, krammaterosiemat kokos</t>
  </si>
  <si>
    <r>
      <t>Kunststof Damwand (GVK/PET)</t>
    </r>
    <r>
      <rPr>
        <b/>
        <sz val="9"/>
        <color theme="1"/>
        <rFont val="Arial"/>
        <family val="2"/>
      </rPr>
      <t>, biobased hars</t>
    </r>
  </si>
  <si>
    <t>glasvezel kunststof (gvk/PET), biobased hars</t>
  </si>
  <si>
    <t>glasvezel kunststof (gvk/PET), biobased hars, wanddikte 5 mm</t>
  </si>
  <si>
    <t>glasvezel kunststof (gvk/PET)</t>
  </si>
  <si>
    <t>glasvezel kunststof (gvk/PET), wanddikte 5 mm</t>
  </si>
  <si>
    <t>Berekening op basis omgerekend materiaal damwand</t>
  </si>
  <si>
    <t>thermisch verzinkt</t>
  </si>
  <si>
    <t>tropisch hardhout</t>
  </si>
  <si>
    <t>Nog geen data beschikbaar</t>
  </si>
  <si>
    <t>0,0679 kg / 0,1 m2</t>
  </si>
  <si>
    <t>Conservering, poedercoating (o.b.v. bekleding, aluminium vlakke plint)</t>
  </si>
  <si>
    <t>Innovatieve optie, nog geen MKI beschikbaar</t>
  </si>
  <si>
    <t xml:space="preserve">accoya </t>
  </si>
  <si>
    <t>baggerspecie blokken</t>
  </si>
  <si>
    <t>Hier kun je het element of bouwdeel selecteren waarvan je het meest duurzame materiaal wilt weten. Een bouwdeel of element is een onderdeel van een object.
Leeg eerst het lichtgele veld door het te selecteren en de 'delete' toets in te toetsen. Daarna vind je aan de rechterzijde van het lichtgele vakje een pulldownmenu. Wanneer je hier op klikt, verschijnen alle elementen of bouwdelen waaruit het door jou geselecteerde object is opgebouwd en waarvoor meerdere toe te passen materialen beschikbaar zijn. Je selecteert nu het gewenste bouwdeel of element.
Er zullen altijd elementen zijn die niet in de lijst voorkomen. Dit is meestal doordat de invloed van het element zo beperkt is dat deze verwaarloosbaar is, of dat er geen keuze is in het materiaal waar het element van wordt gemaakt. Een andere mogelijkheid is dat het element gekoppeld is aan een ander object. Je kunt dit controleren door in het tabblad 'database' in kolom E te zoeken naar het betreffende element.
Mocht je een element echt missen, wat wel in verschillende materialen uitvoerbaar is en een essentieel onderdeel vormt van het object, stuur dan svp een mailtje naar dos@hdsr.nl met het object, element en materialen die je mist.
Wanneer je een element hebt geselecteerd, verschijnt rechts van stap 3 een lijst met materialen waarin het betreffende bouwdeel of element kan worden uitgevoerd.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</si>
</sst>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quot;€&quot;\ * #,##0.00_ ;_ &quot;€&quot;\ * \-#,##0.00_ ;_ &quot;€&quot;\ * &quot;-&quot;??_ ;_ @_ "/>
    <numFmt numFmtId="43" formatCode="_ * #,##0.00_ ;_ * \-#,##0.00_ ;_ * &quot;-&quot;??_ ;_ @_ "/>
    <numFmt numFmtId="164" formatCode="0.000"/>
    <numFmt numFmtId="165" formatCode="000"/>
    <numFmt numFmtId="166" formatCode="0000"/>
    <numFmt numFmtId="167" formatCode="00"/>
    <numFmt numFmtId="168" formatCode="00000"/>
    <numFmt numFmtId="169" formatCode="0\ &quot; jr.&quot;"/>
    <numFmt numFmtId="170" formatCode="_ &quot;€&quot;\ * #,##0.000_ ;_ &quot;€&quot;\ * \-#,##0.000_ ;_ &quot;€&quot;\ * &quot;-&quot;??_ ;_ @_ "/>
    <numFmt numFmtId="171" formatCode="0.0000"/>
    <numFmt numFmtId="172" formatCode="_ &quot;€&quot;\ * #,##0_ ;_ &quot;€&quot;\ * \-#,##0_ ;_ &quot;€&quot;\ * &quot;-&quot;??_ ;_ @_ "/>
    <numFmt numFmtId="173" formatCode="_ &quot;€&quot;\ * #,##0.0000_ ;_ &quot;€&quot;\ * \-#,##0.0000_ ;_ &quot;€&quot;\ * &quot;-&quot;??_ ;_ @_ "/>
    <numFmt numFmtId="174" formatCode="_ &quot;€&quot;\ * #,##0.000000_ ;_ &quot;€&quot;\ * \-#,##0.000000_ ;_ &quot;€&quot;\ * &quot;-&quot;??_ ;_ @_ "/>
    <numFmt numFmtId="175" formatCode="0.0"/>
    <numFmt numFmtId="176" formatCode="0.00000"/>
    <numFmt numFmtId="177" formatCode="&quot;€&quot;\ #,##0.000"/>
    <numFmt numFmtId="178" formatCode="0.000000000000000000000000"/>
    <numFmt numFmtId="179" formatCode="&quot;€&quot;\ #,##0.00"/>
    <numFmt numFmtId="180" formatCode="&quot;€&quot;\ #,##0.0000"/>
    <numFmt numFmtId="181" formatCode="0.00000000"/>
    <numFmt numFmtId="182" formatCode="0.00000000000"/>
    <numFmt numFmtId="183" formatCode="0.0%"/>
  </numFmts>
  <fonts count="52" x14ac:knownFonts="1">
    <font>
      <sz val="10"/>
      <color theme="1"/>
      <name val="Arial"/>
      <family val="2"/>
    </font>
    <font>
      <b/>
      <sz val="10"/>
      <name val="Arial"/>
      <family val="2"/>
    </font>
    <font>
      <sz val="10"/>
      <name val="Arial"/>
      <family val="2"/>
    </font>
    <font>
      <b/>
      <sz val="10"/>
      <color theme="1"/>
      <name val="Arial"/>
      <family val="2"/>
    </font>
    <font>
      <b/>
      <sz val="16"/>
      <color theme="1"/>
      <name val="Arial"/>
      <family val="2"/>
    </font>
    <font>
      <b/>
      <sz val="18"/>
      <color theme="1"/>
      <name val="Arial"/>
      <family val="2"/>
    </font>
    <font>
      <b/>
      <sz val="14"/>
      <color theme="1"/>
      <name val="Arial"/>
      <family val="2"/>
    </font>
    <font>
      <sz val="10"/>
      <color rgb="FFFF0000"/>
      <name val="Arial"/>
      <family val="2"/>
    </font>
    <font>
      <sz val="9"/>
      <color theme="1"/>
      <name val="Arial"/>
      <family val="2"/>
    </font>
    <font>
      <b/>
      <sz val="10"/>
      <color rgb="FFFF0000"/>
      <name val="Arial"/>
      <family val="2"/>
    </font>
    <font>
      <b/>
      <sz val="9"/>
      <color theme="1"/>
      <name val="Arial"/>
      <family val="2"/>
    </font>
    <font>
      <sz val="10"/>
      <color theme="9" tint="-0.499984740745262"/>
      <name val="Arial"/>
      <family val="2"/>
    </font>
    <font>
      <b/>
      <sz val="9"/>
      <color indexed="81"/>
      <name val="Tahoma"/>
      <family val="2"/>
    </font>
    <font>
      <sz val="10"/>
      <color theme="1"/>
      <name val="Arial"/>
      <family val="2"/>
    </font>
    <font>
      <b/>
      <sz val="10"/>
      <color rgb="FF00B050"/>
      <name val="Arial"/>
      <family val="2"/>
    </font>
    <font>
      <sz val="11"/>
      <color rgb="FF9C5700"/>
      <name val="Calibri"/>
      <family val="2"/>
      <scheme val="minor"/>
    </font>
    <font>
      <b/>
      <sz val="11"/>
      <color theme="0"/>
      <name val="Calibri"/>
      <family val="2"/>
      <scheme val="minor"/>
    </font>
    <font>
      <sz val="12"/>
      <color theme="1"/>
      <name val="Arial"/>
      <family val="2"/>
    </font>
    <font>
      <b/>
      <sz val="10"/>
      <color theme="0"/>
      <name val="Calibri"/>
      <family val="2"/>
      <scheme val="minor"/>
    </font>
    <font>
      <u/>
      <sz val="10"/>
      <color theme="10"/>
      <name val="Arial"/>
      <family val="2"/>
    </font>
    <font>
      <sz val="9"/>
      <color theme="2" tint="-0.499984740745262"/>
      <name val="Arial"/>
      <family val="2"/>
    </font>
    <font>
      <sz val="9"/>
      <color theme="2" tint="-0.249977111117893"/>
      <name val="Arial"/>
      <family val="2"/>
    </font>
    <font>
      <b/>
      <sz val="9"/>
      <color theme="2" tint="-0.249977111117893"/>
      <name val="Arial"/>
      <family val="2"/>
    </font>
    <font>
      <sz val="11"/>
      <color rgb="FF006100"/>
      <name val="Calibri"/>
      <family val="2"/>
      <scheme val="minor"/>
    </font>
    <font>
      <sz val="11"/>
      <color rgb="FF9C0006"/>
      <name val="Calibri"/>
      <family val="2"/>
      <scheme val="minor"/>
    </font>
    <font>
      <sz val="11"/>
      <color theme="0"/>
      <name val="Calibri"/>
      <family val="2"/>
      <scheme val="minor"/>
    </font>
    <font>
      <b/>
      <sz val="14"/>
      <color theme="0"/>
      <name val="Calibri"/>
      <family val="2"/>
      <scheme val="minor"/>
    </font>
    <font>
      <sz val="10"/>
      <color theme="2" tint="-0.749992370372631"/>
      <name val="Arial"/>
      <family val="2"/>
    </font>
    <font>
      <b/>
      <sz val="14"/>
      <color rgb="FFFF0000"/>
      <name val="Arial"/>
      <family val="2"/>
    </font>
    <font>
      <sz val="14"/>
      <color rgb="FFFF0000"/>
      <name val="Arial"/>
      <family val="2"/>
    </font>
    <font>
      <i/>
      <sz val="9"/>
      <color theme="1"/>
      <name val="Arial"/>
      <family val="2"/>
    </font>
    <font>
      <sz val="9"/>
      <color theme="1"/>
      <name val="Calibri"/>
      <family val="2"/>
      <scheme val="minor"/>
    </font>
    <font>
      <sz val="10"/>
      <name val="Calibri"/>
      <family val="2"/>
      <scheme val="minor"/>
    </font>
    <font>
      <b/>
      <sz val="10"/>
      <name val="Calibri"/>
      <family val="2"/>
      <scheme val="minor"/>
    </font>
    <font>
      <sz val="9"/>
      <color rgb="FF00B0F0"/>
      <name val="Arial"/>
      <family val="2"/>
    </font>
    <font>
      <u/>
      <sz val="12"/>
      <color theme="10"/>
      <name val="Arial"/>
      <family val="2"/>
    </font>
    <font>
      <u/>
      <sz val="12"/>
      <color theme="1"/>
      <name val="Arial"/>
      <family val="2"/>
    </font>
    <font>
      <sz val="8"/>
      <name val="Arial"/>
      <family val="2"/>
    </font>
    <font>
      <b/>
      <sz val="11"/>
      <color theme="1"/>
      <name val="Arial"/>
      <family val="2"/>
    </font>
    <font>
      <u/>
      <sz val="10"/>
      <color theme="4" tint="-0.249977111117893"/>
      <name val="Arial"/>
      <family val="2"/>
    </font>
    <font>
      <b/>
      <sz val="12"/>
      <color theme="1"/>
      <name val="Arial"/>
      <family val="2"/>
    </font>
    <font>
      <sz val="11"/>
      <color theme="1"/>
      <name val="Arial"/>
      <family val="2"/>
    </font>
    <font>
      <b/>
      <sz val="11"/>
      <color theme="0"/>
      <name val="Arial"/>
      <family val="2"/>
    </font>
    <font>
      <b/>
      <sz val="12"/>
      <color theme="0"/>
      <name val="Arial"/>
      <family val="2"/>
    </font>
    <font>
      <b/>
      <sz val="12"/>
      <color theme="9" tint="-0.499984740745262"/>
      <name val="Arial"/>
      <family val="2"/>
    </font>
    <font>
      <b/>
      <sz val="20"/>
      <color theme="1"/>
      <name val="Arial"/>
      <family val="2"/>
    </font>
    <font>
      <b/>
      <sz val="18"/>
      <color rgb="FF000000"/>
      <name val="Arial"/>
      <family val="2"/>
    </font>
    <font>
      <b/>
      <sz val="14"/>
      <color rgb="FF000000"/>
      <name val="Arial"/>
      <family val="2"/>
    </font>
    <font>
      <b/>
      <u/>
      <sz val="12"/>
      <color rgb="FF000000"/>
      <name val="Arial"/>
      <family val="2"/>
    </font>
    <font>
      <b/>
      <sz val="12"/>
      <color rgb="FF000000"/>
      <name val="Arial"/>
      <family val="2"/>
    </font>
    <font>
      <b/>
      <sz val="10"/>
      <color rgb="FF000000"/>
      <name val="Arial"/>
      <family val="2"/>
    </font>
    <font>
      <i/>
      <sz val="12"/>
      <color theme="1"/>
      <name val="Arial"/>
      <family val="2"/>
    </font>
  </fonts>
  <fills count="23">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rgb="FFFFEB9C"/>
      </patternFill>
    </fill>
    <fill>
      <patternFill patternType="solid">
        <fgColor rgb="FFFFFFCC"/>
      </patternFill>
    </fill>
    <fill>
      <patternFill patternType="solid">
        <fgColor theme="0" tint="-4.9989318521683403E-2"/>
        <bgColor indexed="64"/>
      </patternFill>
    </fill>
    <fill>
      <patternFill patternType="solid">
        <fgColor rgb="FFFFFF00"/>
        <bgColor indexed="64"/>
      </patternFill>
    </fill>
    <fill>
      <patternFill patternType="solid">
        <fgColor rgb="FF02486F"/>
        <bgColor indexed="64"/>
      </patternFill>
    </fill>
    <fill>
      <patternFill patternType="solid">
        <fgColor rgb="FFC6EFCE"/>
      </patternFill>
    </fill>
    <fill>
      <patternFill patternType="solid">
        <fgColor rgb="FFFFC7CE"/>
      </patternFill>
    </fill>
    <fill>
      <patternFill patternType="solid">
        <fgColor theme="7"/>
      </patternFill>
    </fill>
    <fill>
      <patternFill patternType="solid">
        <fgColor rgb="FFFF4747"/>
        <bgColor indexed="64"/>
      </patternFill>
    </fill>
    <fill>
      <patternFill patternType="solid">
        <fgColor rgb="FF00B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9"/>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8989"/>
        <bgColor indexed="64"/>
      </patternFill>
    </fill>
    <fill>
      <patternFill patternType="solid">
        <fgColor theme="7"/>
        <bgColor indexed="64"/>
      </patternFill>
    </fill>
    <fill>
      <patternFill patternType="solid">
        <fgColor theme="9" tint="0.39997558519241921"/>
        <bgColor indexed="64"/>
      </patternFill>
    </fill>
  </fills>
  <borders count="78">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hair">
        <color auto="1"/>
      </top>
      <bottom style="hair">
        <color auto="1"/>
      </bottom>
      <diagonal/>
    </border>
    <border>
      <left style="medium">
        <color indexed="64"/>
      </left>
      <right/>
      <top style="hair">
        <color auto="1"/>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medium">
        <color indexed="64"/>
      </left>
      <right style="thin">
        <color indexed="64"/>
      </right>
      <top style="hair">
        <color auto="1"/>
      </top>
      <bottom style="medium">
        <color indexed="64"/>
      </bottom>
      <diagonal/>
    </border>
    <border>
      <left style="thin">
        <color indexed="64"/>
      </left>
      <right style="thin">
        <color indexed="64"/>
      </right>
      <top style="hair">
        <color auto="1"/>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top/>
      <bottom style="thin">
        <color indexed="64"/>
      </bottom>
      <diagonal/>
    </border>
    <border>
      <left/>
      <right/>
      <top/>
      <bottom style="thick">
        <color rgb="FF80C2D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hair">
        <color indexed="64"/>
      </bottom>
      <diagonal/>
    </border>
    <border>
      <left style="thin">
        <color indexed="64"/>
      </left>
      <right/>
      <top style="hair">
        <color auto="1"/>
      </top>
      <bottom style="hair">
        <color auto="1"/>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hair">
        <color indexed="64"/>
      </top>
      <bottom style="medium">
        <color indexed="64"/>
      </bottom>
      <diagonal/>
    </border>
    <border>
      <left/>
      <right/>
      <top/>
      <bottom style="thick">
        <color theme="0"/>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top/>
      <bottom style="thick">
        <color rgb="FFC00000"/>
      </bottom>
      <diagonal/>
    </border>
    <border>
      <left style="thick">
        <color rgb="FFC00000"/>
      </left>
      <right style="thick">
        <color rgb="FFC00000"/>
      </right>
      <top/>
      <bottom/>
      <diagonal/>
    </border>
    <border>
      <left style="thick">
        <color rgb="FFC00000"/>
      </left>
      <right/>
      <top/>
      <bottom/>
      <diagonal/>
    </border>
    <border>
      <left/>
      <right/>
      <top style="thick">
        <color rgb="FFC00000"/>
      </top>
      <bottom/>
      <diagonal/>
    </border>
    <border>
      <left style="thick">
        <color theme="9" tint="-0.24994659260841701"/>
      </left>
      <right style="thick">
        <color theme="9" tint="-0.24994659260841701"/>
      </right>
      <top style="thick">
        <color theme="9" tint="-0.24994659260841701"/>
      </top>
      <bottom/>
      <diagonal/>
    </border>
    <border>
      <left style="thick">
        <color theme="9" tint="-0.24994659260841701"/>
      </left>
      <right style="thick">
        <color theme="9" tint="-0.24994659260841701"/>
      </right>
      <top/>
      <bottom style="thick">
        <color theme="9" tint="-0.24994659260841701"/>
      </bottom>
      <diagonal/>
    </border>
    <border>
      <left style="thick">
        <color rgb="FFFF6600"/>
      </left>
      <right style="thick">
        <color rgb="FFFF6600"/>
      </right>
      <top style="thick">
        <color rgb="FFFF6600"/>
      </top>
      <bottom/>
      <diagonal/>
    </border>
    <border>
      <left style="thick">
        <color rgb="FFFF6600"/>
      </left>
      <right style="thick">
        <color rgb="FFFF6600"/>
      </right>
      <top/>
      <bottom style="thick">
        <color rgb="FFFF6600"/>
      </bottom>
      <diagonal/>
    </border>
    <border>
      <left style="thick">
        <color rgb="FFFFCC00"/>
      </left>
      <right style="thick">
        <color rgb="FFFFCC00"/>
      </right>
      <top style="thick">
        <color rgb="FFFFCC00"/>
      </top>
      <bottom/>
      <diagonal/>
    </border>
    <border>
      <left style="thick">
        <color rgb="FFFFCC00"/>
      </left>
      <right style="thick">
        <color rgb="FFFFCC00"/>
      </right>
      <top/>
      <bottom style="thick">
        <color rgb="FFFFCC00"/>
      </bottom>
      <diagonal/>
    </border>
    <border>
      <left style="thick">
        <color theme="8" tint="-0.24994659260841701"/>
      </left>
      <right style="thick">
        <color theme="8" tint="-0.24994659260841701"/>
      </right>
      <top style="thick">
        <color theme="8" tint="-0.24994659260841701"/>
      </top>
      <bottom/>
      <diagonal/>
    </border>
    <border>
      <left style="thick">
        <color theme="8" tint="-0.24994659260841701"/>
      </left>
      <right style="thick">
        <color theme="8" tint="-0.24994659260841701"/>
      </right>
      <top/>
      <bottom style="thick">
        <color theme="8" tint="-0.24994659260841701"/>
      </bottom>
      <diagonal/>
    </border>
    <border>
      <left/>
      <right style="thick">
        <color rgb="FFC00000"/>
      </right>
      <top/>
      <bottom/>
      <diagonal/>
    </border>
  </borders>
  <cellStyleXfs count="15">
    <xf numFmtId="0" fontId="0"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5" fillId="4" borderId="0" applyNumberFormat="0" applyBorder="0" applyAlignment="0" applyProtection="0"/>
    <xf numFmtId="0" fontId="13" fillId="5" borderId="27" applyNumberFormat="0" applyFont="0" applyAlignment="0" applyProtection="0"/>
    <xf numFmtId="0" fontId="16" fillId="8" borderId="30"/>
    <xf numFmtId="0" fontId="19" fillId="0" borderId="0" applyNumberFormat="0" applyFill="0" applyBorder="0" applyAlignment="0" applyProtection="0"/>
    <xf numFmtId="0" fontId="23" fillId="9" borderId="0" applyNumberFormat="0" applyBorder="0" applyAlignment="0" applyProtection="0"/>
    <xf numFmtId="0" fontId="24" fillId="10" borderId="0" applyNumberFormat="0" applyBorder="0" applyAlignment="0" applyProtection="0"/>
    <xf numFmtId="0" fontId="25" fillId="11" borderId="0" applyNumberFormat="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cellStyleXfs>
  <cellXfs count="569">
    <xf numFmtId="0" fontId="0" fillId="0" borderId="0" xfId="0"/>
    <xf numFmtId="0" fontId="0" fillId="0" borderId="0" xfId="0" applyFill="1" applyBorder="1"/>
    <xf numFmtId="0" fontId="0" fillId="3" borderId="0" xfId="0" applyFill="1" applyBorder="1"/>
    <xf numFmtId="0" fontId="0" fillId="0" borderId="0" xfId="0" applyBorder="1"/>
    <xf numFmtId="0" fontId="3" fillId="0" borderId="0" xfId="0" applyFont="1" applyBorder="1"/>
    <xf numFmtId="0" fontId="10" fillId="2" borderId="14" xfId="0" applyFont="1" applyFill="1" applyBorder="1" applyAlignment="1" applyProtection="1">
      <alignment vertical="center" wrapText="1"/>
    </xf>
    <xf numFmtId="0" fontId="10" fillId="2" borderId="15" xfId="0" applyFont="1" applyFill="1" applyBorder="1" applyAlignment="1" applyProtection="1">
      <alignment vertical="center" wrapText="1"/>
    </xf>
    <xf numFmtId="0" fontId="0" fillId="0" borderId="0" xfId="0" applyFill="1" applyBorder="1" applyAlignment="1">
      <alignment wrapText="1"/>
    </xf>
    <xf numFmtId="166" fontId="0" fillId="0" borderId="0" xfId="0" applyNumberFormat="1"/>
    <xf numFmtId="0" fontId="10" fillId="2" borderId="16" xfId="0" applyFont="1" applyFill="1" applyBorder="1" applyAlignment="1" applyProtection="1">
      <alignment vertical="center" wrapText="1"/>
    </xf>
    <xf numFmtId="0" fontId="0" fillId="0" borderId="21" xfId="0" applyFill="1" applyBorder="1" applyAlignment="1" applyProtection="1">
      <alignment vertical="center" wrapText="1"/>
    </xf>
    <xf numFmtId="0" fontId="0" fillId="0" borderId="23" xfId="0" applyFill="1" applyBorder="1" applyAlignment="1" applyProtection="1">
      <alignment vertical="center" wrapText="1"/>
    </xf>
    <xf numFmtId="167" fontId="14" fillId="0" borderId="0" xfId="1" applyNumberFormat="1" applyFont="1" applyBorder="1"/>
    <xf numFmtId="165" fontId="9" fillId="0" borderId="0" xfId="1" applyNumberFormat="1" applyFont="1" applyBorder="1"/>
    <xf numFmtId="0" fontId="3" fillId="0" borderId="0" xfId="0" applyFont="1" applyFill="1" applyBorder="1"/>
    <xf numFmtId="0" fontId="0" fillId="0" borderId="7" xfId="0" applyBorder="1"/>
    <xf numFmtId="167" fontId="9" fillId="0" borderId="0" xfId="1" applyNumberFormat="1" applyFont="1" applyBorder="1"/>
    <xf numFmtId="0" fontId="9" fillId="0" borderId="0" xfId="0" applyFont="1"/>
    <xf numFmtId="0" fontId="0" fillId="0" borderId="20" xfId="0" applyNumberFormat="1" applyFill="1" applyBorder="1" applyAlignment="1" applyProtection="1">
      <alignment horizontal="center" vertical="center" wrapText="1"/>
    </xf>
    <xf numFmtId="0" fontId="0" fillId="2" borderId="22" xfId="0" applyNumberFormat="1" applyFill="1" applyBorder="1" applyAlignment="1" applyProtection="1">
      <alignment horizontal="center" vertical="center" wrapText="1"/>
    </xf>
    <xf numFmtId="0" fontId="0" fillId="2" borderId="24" xfId="0" applyNumberFormat="1" applyFill="1" applyBorder="1" applyAlignment="1" applyProtection="1">
      <alignment horizontal="center" vertical="center" wrapText="1"/>
    </xf>
    <xf numFmtId="167" fontId="9" fillId="0" borderId="0" xfId="0" applyNumberFormat="1" applyFont="1" applyBorder="1"/>
    <xf numFmtId="165" fontId="14" fillId="0" borderId="0" xfId="0" applyNumberFormat="1" applyFont="1" applyBorder="1"/>
    <xf numFmtId="168" fontId="9" fillId="0" borderId="0" xfId="0" applyNumberFormat="1" applyFont="1" applyBorder="1"/>
    <xf numFmtId="166" fontId="14" fillId="0" borderId="0" xfId="0" applyNumberFormat="1" applyFont="1" applyBorder="1"/>
    <xf numFmtId="164" fontId="2" fillId="0" borderId="0" xfId="0" applyNumberFormat="1" applyFont="1" applyFill="1" applyBorder="1" applyAlignment="1">
      <alignment horizontal="center"/>
    </xf>
    <xf numFmtId="164" fontId="0" fillId="0" borderId="0" xfId="0" applyNumberFormat="1" applyFill="1" applyBorder="1" applyAlignment="1">
      <alignment horizontal="left"/>
    </xf>
    <xf numFmtId="166" fontId="7" fillId="0" borderId="0" xfId="0" applyNumberFormat="1" applyFont="1" applyBorder="1"/>
    <xf numFmtId="0" fontId="0" fillId="0" borderId="29" xfId="0" applyBorder="1"/>
    <xf numFmtId="166" fontId="14" fillId="0" borderId="29" xfId="0" applyNumberFormat="1" applyFont="1" applyBorder="1"/>
    <xf numFmtId="0" fontId="8" fillId="6" borderId="0" xfId="0" applyFont="1" applyFill="1" applyAlignment="1">
      <alignment horizontal="left"/>
    </xf>
    <xf numFmtId="0" fontId="8" fillId="0" borderId="0" xfId="0" applyFont="1" applyFill="1" applyAlignment="1">
      <alignment horizontal="left"/>
    </xf>
    <xf numFmtId="44" fontId="8" fillId="0" borderId="0" xfId="2" applyFont="1" applyFill="1" applyAlignment="1">
      <alignment horizontal="left"/>
    </xf>
    <xf numFmtId="2" fontId="8" fillId="0" borderId="0" xfId="2" applyNumberFormat="1" applyFont="1" applyFill="1" applyAlignment="1">
      <alignment horizontal="left"/>
    </xf>
    <xf numFmtId="0" fontId="8" fillId="0" borderId="0" xfId="0" applyFont="1" applyAlignment="1">
      <alignment horizontal="left"/>
    </xf>
    <xf numFmtId="170" fontId="8" fillId="0" borderId="0" xfId="2" applyNumberFormat="1" applyFont="1" applyFill="1" applyAlignment="1">
      <alignment horizontal="left"/>
    </xf>
    <xf numFmtId="0" fontId="8" fillId="6" borderId="0" xfId="0" applyFont="1" applyFill="1" applyAlignment="1">
      <alignment horizontal="left" wrapText="1"/>
    </xf>
    <xf numFmtId="44" fontId="8" fillId="0" borderId="0" xfId="2" applyFont="1" applyFill="1" applyAlignment="1">
      <alignment horizontal="left" wrapText="1"/>
    </xf>
    <xf numFmtId="44" fontId="8" fillId="0" borderId="0" xfId="2" applyFont="1" applyAlignment="1">
      <alignment horizontal="left"/>
    </xf>
    <xf numFmtId="2" fontId="8" fillId="0" borderId="0" xfId="2" applyNumberFormat="1" applyFont="1" applyAlignment="1">
      <alignment horizontal="left"/>
    </xf>
    <xf numFmtId="171" fontId="8" fillId="0" borderId="0" xfId="2" applyNumberFormat="1" applyFont="1" applyAlignment="1">
      <alignment horizontal="left"/>
    </xf>
    <xf numFmtId="173" fontId="8" fillId="0" borderId="0" xfId="2" applyNumberFormat="1" applyFont="1" applyAlignment="1">
      <alignment horizontal="left"/>
    </xf>
    <xf numFmtId="170" fontId="8" fillId="0" borderId="0" xfId="2" applyNumberFormat="1" applyFont="1" applyFill="1" applyBorder="1" applyAlignment="1">
      <alignment horizontal="left"/>
    </xf>
    <xf numFmtId="170" fontId="10" fillId="0" borderId="29" xfId="2" applyNumberFormat="1" applyFont="1" applyFill="1" applyBorder="1" applyAlignment="1">
      <alignment horizontal="left"/>
    </xf>
    <xf numFmtId="174" fontId="8" fillId="0" borderId="0" xfId="0" applyNumberFormat="1" applyFont="1" applyAlignment="1">
      <alignment horizontal="left"/>
    </xf>
    <xf numFmtId="170" fontId="21" fillId="0" borderId="0" xfId="2" applyNumberFormat="1" applyFont="1" applyFill="1" applyAlignment="1">
      <alignment horizontal="left"/>
    </xf>
    <xf numFmtId="170" fontId="21" fillId="0" borderId="0" xfId="2" applyNumberFormat="1" applyFont="1" applyFill="1" applyBorder="1" applyAlignment="1">
      <alignment horizontal="left"/>
    </xf>
    <xf numFmtId="170" fontId="22" fillId="0" borderId="0" xfId="2" applyNumberFormat="1" applyFont="1" applyFill="1" applyBorder="1" applyAlignment="1">
      <alignment horizontal="left"/>
    </xf>
    <xf numFmtId="0" fontId="0" fillId="0" borderId="19" xfId="0" applyFont="1" applyFill="1" applyBorder="1" applyAlignment="1" applyProtection="1">
      <alignment vertical="center" wrapText="1"/>
    </xf>
    <xf numFmtId="0" fontId="0" fillId="0" borderId="14" xfId="0" applyFont="1" applyFill="1" applyBorder="1" applyAlignment="1" applyProtection="1">
      <alignment vertical="center" wrapText="1"/>
    </xf>
    <xf numFmtId="0" fontId="0" fillId="0" borderId="21" xfId="0" applyFont="1" applyFill="1" applyBorder="1" applyAlignment="1" applyProtection="1">
      <alignment vertical="center" wrapText="1"/>
    </xf>
    <xf numFmtId="0" fontId="6" fillId="14" borderId="38" xfId="0" applyFont="1" applyFill="1" applyBorder="1" applyAlignment="1" applyProtection="1">
      <alignment vertical="top" wrapText="1"/>
    </xf>
    <xf numFmtId="0" fontId="0" fillId="2" borderId="9" xfId="0" applyFont="1" applyFill="1" applyBorder="1" applyAlignment="1" applyProtection="1">
      <alignment vertical="top" wrapText="1"/>
    </xf>
    <xf numFmtId="0" fontId="0" fillId="2" borderId="1" xfId="0" applyFont="1" applyFill="1" applyBorder="1" applyAlignment="1" applyProtection="1">
      <alignment vertical="top" wrapText="1"/>
    </xf>
    <xf numFmtId="0" fontId="0" fillId="2" borderId="8" xfId="0" applyFont="1" applyFill="1" applyBorder="1" applyAlignment="1" applyProtection="1">
      <alignment horizontal="center" vertical="top" wrapText="1"/>
    </xf>
    <xf numFmtId="0" fontId="0" fillId="2" borderId="0" xfId="0" applyFont="1" applyFill="1" applyBorder="1" applyAlignment="1" applyProtection="1">
      <alignment vertical="top" wrapText="1"/>
    </xf>
    <xf numFmtId="175" fontId="0" fillId="2" borderId="41" xfId="0" applyNumberFormat="1" applyFont="1" applyFill="1" applyBorder="1" applyAlignment="1" applyProtection="1">
      <alignment horizontal="center" vertical="top" wrapText="1"/>
    </xf>
    <xf numFmtId="0" fontId="0" fillId="3" borderId="29" xfId="0" applyFill="1" applyBorder="1"/>
    <xf numFmtId="0" fontId="0" fillId="0" borderId="0" xfId="0" applyBorder="1" applyAlignment="1">
      <alignment horizontal="center"/>
    </xf>
    <xf numFmtId="0" fontId="0" fillId="0" borderId="31" xfId="0" applyBorder="1"/>
    <xf numFmtId="166" fontId="14" fillId="0" borderId="31" xfId="0" applyNumberFormat="1" applyFont="1" applyBorder="1"/>
    <xf numFmtId="0" fontId="0" fillId="0" borderId="5" xfId="0" applyBorder="1"/>
    <xf numFmtId="0" fontId="0" fillId="7" borderId="0" xfId="0" applyFill="1" applyBorder="1"/>
    <xf numFmtId="166" fontId="0" fillId="0" borderId="0" xfId="0" applyNumberFormat="1" applyBorder="1"/>
    <xf numFmtId="0" fontId="0" fillId="0" borderId="28" xfId="0" applyBorder="1"/>
    <xf numFmtId="0" fontId="0" fillId="3" borderId="28" xfId="0" applyFill="1" applyBorder="1"/>
    <xf numFmtId="166" fontId="14" fillId="0" borderId="28" xfId="0" applyNumberFormat="1" applyFont="1" applyBorder="1"/>
    <xf numFmtId="0" fontId="8" fillId="0" borderId="0" xfId="0" applyFont="1"/>
    <xf numFmtId="0" fontId="10" fillId="0" borderId="29" xfId="0" applyFont="1" applyBorder="1" applyAlignment="1">
      <alignment vertical="center"/>
    </xf>
    <xf numFmtId="0" fontId="8" fillId="0" borderId="29" xfId="0" applyFont="1" applyBorder="1" applyAlignment="1">
      <alignment vertical="center"/>
    </xf>
    <xf numFmtId="0" fontId="8" fillId="0" borderId="0" xfId="0" applyFont="1" applyAlignment="1">
      <alignment vertical="center"/>
    </xf>
    <xf numFmtId="0" fontId="0" fillId="18" borderId="0" xfId="0" applyFill="1" applyAlignment="1" applyProtection="1">
      <alignment vertical="top"/>
    </xf>
    <xf numFmtId="0" fontId="0" fillId="18" borderId="0" xfId="0" applyFill="1" applyProtection="1"/>
    <xf numFmtId="2" fontId="0" fillId="18" borderId="0" xfId="0" applyNumberFormat="1" applyFill="1" applyAlignment="1" applyProtection="1">
      <alignment vertical="top"/>
    </xf>
    <xf numFmtId="0" fontId="0" fillId="18" borderId="0" xfId="0" applyFill="1" applyBorder="1" applyAlignment="1" applyProtection="1">
      <alignment vertical="center"/>
    </xf>
    <xf numFmtId="0" fontId="0" fillId="18" borderId="0" xfId="0" applyFont="1" applyFill="1" applyProtection="1"/>
    <xf numFmtId="0" fontId="18" fillId="18" borderId="30" xfId="6" applyFont="1" applyFill="1" applyAlignment="1">
      <alignment horizontal="left"/>
    </xf>
    <xf numFmtId="174" fontId="18" fillId="18" borderId="30" xfId="6" applyNumberFormat="1" applyFont="1" applyFill="1" applyAlignment="1">
      <alignment horizontal="left"/>
    </xf>
    <xf numFmtId="0" fontId="32" fillId="18" borderId="30" xfId="6" applyFont="1" applyFill="1" applyAlignment="1">
      <alignment horizontal="left"/>
    </xf>
    <xf numFmtId="0" fontId="33" fillId="18" borderId="30" xfId="6" applyFont="1" applyFill="1" applyAlignment="1">
      <alignment horizontal="left"/>
    </xf>
    <xf numFmtId="2" fontId="0" fillId="18" borderId="0" xfId="0" applyNumberFormat="1" applyFill="1" applyAlignment="1" applyProtection="1">
      <alignment vertical="top" wrapText="1"/>
    </xf>
    <xf numFmtId="44" fontId="0" fillId="18" borderId="0" xfId="2" applyFont="1" applyFill="1" applyAlignment="1" applyProtection="1">
      <alignment vertical="top"/>
    </xf>
    <xf numFmtId="0" fontId="6" fillId="14" borderId="4" xfId="0" applyFont="1" applyFill="1" applyBorder="1" applyAlignment="1" applyProtection="1">
      <alignment vertical="top" wrapText="1"/>
    </xf>
    <xf numFmtId="44" fontId="8" fillId="0" borderId="0" xfId="2" applyFont="1" applyFill="1" applyAlignment="1">
      <alignment horizontal="left" vertical="top" wrapText="1"/>
    </xf>
    <xf numFmtId="0" fontId="32" fillId="18" borderId="30" xfId="6" applyFont="1" applyFill="1" applyAlignment="1">
      <alignment horizontal="left" indent="1"/>
    </xf>
    <xf numFmtId="0" fontId="17" fillId="18" borderId="0" xfId="0" applyFont="1" applyFill="1" applyAlignment="1" applyProtection="1">
      <alignment vertical="top"/>
    </xf>
    <xf numFmtId="9" fontId="27" fillId="17" borderId="32" xfId="3" applyFont="1" applyFill="1" applyBorder="1" applyAlignment="1">
      <alignment horizontal="center" vertical="center"/>
    </xf>
    <xf numFmtId="0" fontId="0" fillId="16" borderId="34" xfId="0" applyFill="1" applyBorder="1" applyAlignment="1">
      <alignment wrapText="1"/>
    </xf>
    <xf numFmtId="0" fontId="0" fillId="15" borderId="34" xfId="0" applyFill="1" applyBorder="1" applyAlignment="1">
      <alignment wrapText="1"/>
    </xf>
    <xf numFmtId="0" fontId="0" fillId="12" borderId="34" xfId="0" applyFill="1" applyBorder="1" applyAlignment="1">
      <alignment wrapText="1"/>
    </xf>
    <xf numFmtId="0" fontId="0" fillId="0" borderId="34" xfId="0" applyFill="1" applyBorder="1" applyAlignment="1">
      <alignment vertical="top" wrapText="1"/>
    </xf>
    <xf numFmtId="0" fontId="0" fillId="0" borderId="32" xfId="0" applyFill="1" applyBorder="1" applyAlignment="1">
      <alignment vertical="top" wrapText="1"/>
    </xf>
    <xf numFmtId="169" fontId="0" fillId="0" borderId="21" xfId="0" applyNumberFormat="1" applyFill="1" applyBorder="1" applyAlignment="1" applyProtection="1">
      <alignment horizontal="center" vertical="center" wrapText="1"/>
    </xf>
    <xf numFmtId="0" fontId="26" fillId="8" borderId="37" xfId="6" applyFont="1" applyBorder="1" applyAlignment="1">
      <alignment vertical="center"/>
    </xf>
    <xf numFmtId="0" fontId="8" fillId="0" borderId="0" xfId="0" quotePrefix="1" applyFont="1" applyFill="1" applyAlignment="1">
      <alignment horizontal="left"/>
    </xf>
    <xf numFmtId="173" fontId="8" fillId="0" borderId="0" xfId="2" applyNumberFormat="1" applyFont="1" applyBorder="1" applyAlignment="1">
      <alignment horizontal="left"/>
    </xf>
    <xf numFmtId="44" fontId="8" fillId="0" borderId="0" xfId="2" applyFont="1" applyBorder="1" applyAlignment="1">
      <alignment horizontal="left"/>
    </xf>
    <xf numFmtId="2" fontId="8" fillId="0" borderId="0" xfId="2" applyNumberFormat="1" applyFont="1" applyBorder="1" applyAlignment="1">
      <alignment horizontal="left"/>
    </xf>
    <xf numFmtId="2" fontId="0" fillId="14" borderId="5" xfId="0" applyNumberFormat="1" applyFont="1" applyFill="1" applyBorder="1" applyAlignment="1" applyProtection="1">
      <alignment horizontal="center" vertical="top" wrapText="1"/>
    </xf>
    <xf numFmtId="44" fontId="0" fillId="14" borderId="36" xfId="2" applyFont="1" applyFill="1" applyBorder="1" applyAlignment="1" applyProtection="1">
      <alignment horizontal="center" vertical="top" wrapText="1"/>
    </xf>
    <xf numFmtId="0" fontId="0" fillId="14" borderId="36" xfId="0" applyFont="1" applyFill="1" applyBorder="1" applyAlignment="1" applyProtection="1">
      <alignment horizontal="center" vertical="top" wrapText="1"/>
    </xf>
    <xf numFmtId="0" fontId="0" fillId="14" borderId="25" xfId="0" applyFont="1" applyFill="1" applyBorder="1" applyAlignment="1" applyProtection="1">
      <alignment horizontal="center" vertical="top" wrapText="1"/>
    </xf>
    <xf numFmtId="0" fontId="0" fillId="14" borderId="7" xfId="0" applyFont="1" applyFill="1" applyBorder="1" applyAlignment="1" applyProtection="1">
      <alignment horizontal="center" vertical="top" wrapText="1"/>
    </xf>
    <xf numFmtId="2" fontId="0" fillId="14" borderId="14" xfId="2" applyNumberFormat="1" applyFont="1" applyFill="1" applyBorder="1" applyAlignment="1" applyProtection="1">
      <alignment horizontal="center" vertical="center" wrapText="1"/>
    </xf>
    <xf numFmtId="2" fontId="0" fillId="14" borderId="15" xfId="2" applyNumberFormat="1" applyFont="1" applyFill="1" applyBorder="1" applyAlignment="1" applyProtection="1">
      <alignment horizontal="center" vertical="center" wrapText="1"/>
    </xf>
    <xf numFmtId="1" fontId="0" fillId="14" borderId="39" xfId="2" applyNumberFormat="1" applyFont="1" applyFill="1" applyBorder="1" applyAlignment="1" applyProtection="1">
      <alignment horizontal="center" vertical="center" wrapText="1"/>
    </xf>
    <xf numFmtId="1" fontId="0" fillId="14" borderId="40" xfId="2" applyNumberFormat="1" applyFont="1" applyFill="1" applyBorder="1" applyAlignment="1" applyProtection="1">
      <alignment horizontal="center" vertical="center" wrapText="1"/>
    </xf>
    <xf numFmtId="1" fontId="0" fillId="14" borderId="44" xfId="2" applyNumberFormat="1" applyFont="1" applyFill="1" applyBorder="1" applyAlignment="1" applyProtection="1">
      <alignment horizontal="center" vertical="center" wrapText="1"/>
    </xf>
    <xf numFmtId="44" fontId="0" fillId="14" borderId="39" xfId="2" applyFont="1" applyFill="1" applyBorder="1" applyAlignment="1" applyProtection="1">
      <alignment horizontal="center" vertical="center" wrapText="1"/>
    </xf>
    <xf numFmtId="44" fontId="0" fillId="14" borderId="40" xfId="2" applyFont="1" applyFill="1" applyBorder="1" applyAlignment="1" applyProtection="1">
      <alignment horizontal="center" vertical="center" wrapText="1"/>
    </xf>
    <xf numFmtId="44" fontId="0" fillId="14" borderId="44" xfId="2" applyFont="1" applyFill="1" applyBorder="1" applyAlignment="1" applyProtection="1">
      <alignment horizontal="center" vertical="center" wrapText="1"/>
    </xf>
    <xf numFmtId="2" fontId="0" fillId="14" borderId="26" xfId="0" applyNumberFormat="1" applyFont="1" applyFill="1" applyBorder="1" applyAlignment="1" applyProtection="1">
      <alignment horizontal="center" vertical="top" wrapText="1"/>
    </xf>
    <xf numFmtId="0" fontId="18" fillId="8" borderId="30" xfId="6" applyFont="1" applyAlignment="1">
      <alignment vertical="top" wrapText="1"/>
    </xf>
    <xf numFmtId="0" fontId="18" fillId="8" borderId="45" xfId="6" applyFont="1" applyBorder="1" applyAlignment="1"/>
    <xf numFmtId="170" fontId="18" fillId="18" borderId="30" xfId="6" applyNumberFormat="1" applyFont="1" applyFill="1" applyAlignment="1">
      <alignment horizontal="left"/>
    </xf>
    <xf numFmtId="170" fontId="8" fillId="0" borderId="0" xfId="2" applyNumberFormat="1" applyFont="1" applyFill="1" applyAlignment="1">
      <alignment horizontal="right"/>
    </xf>
    <xf numFmtId="170" fontId="9" fillId="0" borderId="0" xfId="0" applyNumberFormat="1" applyFont="1"/>
    <xf numFmtId="170" fontId="9" fillId="0" borderId="0" xfId="0" applyNumberFormat="1" applyFont="1" applyBorder="1"/>
    <xf numFmtId="170" fontId="8" fillId="0" borderId="0" xfId="2" applyNumberFormat="1" applyFont="1" applyFill="1" applyBorder="1" applyAlignment="1">
      <alignment horizontal="right"/>
    </xf>
    <xf numFmtId="170" fontId="10" fillId="0" borderId="0" xfId="2" applyNumberFormat="1" applyFont="1" applyFill="1" applyBorder="1" applyAlignment="1">
      <alignment horizontal="right"/>
    </xf>
    <xf numFmtId="164" fontId="8" fillId="0" borderId="0" xfId="2" applyNumberFormat="1" applyFont="1" applyFill="1" applyAlignment="1">
      <alignment horizontal="left"/>
    </xf>
    <xf numFmtId="172" fontId="20" fillId="0" borderId="0" xfId="2" applyNumberFormat="1" applyFont="1" applyFill="1" applyAlignment="1"/>
    <xf numFmtId="44" fontId="20" fillId="0" borderId="0" xfId="2" applyFont="1" applyFill="1" applyAlignment="1"/>
    <xf numFmtId="44" fontId="34" fillId="0" borderId="0" xfId="2" applyFont="1" applyFill="1" applyAlignment="1"/>
    <xf numFmtId="44" fontId="8" fillId="0" borderId="0" xfId="2" applyFont="1" applyFill="1" applyAlignment="1"/>
    <xf numFmtId="173" fontId="8" fillId="0" borderId="0" xfId="2" applyNumberFormat="1" applyFont="1" applyFill="1" applyBorder="1" applyAlignment="1">
      <alignment horizontal="left"/>
    </xf>
    <xf numFmtId="0" fontId="18" fillId="0" borderId="0" xfId="6" applyFont="1" applyFill="1" applyBorder="1" applyAlignment="1"/>
    <xf numFmtId="0" fontId="18" fillId="0" borderId="0" xfId="6" applyFont="1" applyFill="1" applyBorder="1" applyAlignment="1">
      <alignment horizontal="left"/>
    </xf>
    <xf numFmtId="0" fontId="8" fillId="0" borderId="0" xfId="0" applyFont="1" applyFill="1" applyBorder="1" applyAlignment="1">
      <alignment horizontal="left"/>
    </xf>
    <xf numFmtId="0" fontId="19" fillId="0" borderId="0" xfId="7" applyFill="1" applyAlignment="1">
      <alignment horizontal="left"/>
    </xf>
    <xf numFmtId="9" fontId="27" fillId="3" borderId="32" xfId="3" applyFont="1" applyFill="1" applyBorder="1" applyAlignment="1">
      <alignment horizontal="center" vertical="center"/>
    </xf>
    <xf numFmtId="9" fontId="0" fillId="0" borderId="32" xfId="3" quotePrefix="1" applyFont="1" applyBorder="1" applyAlignment="1">
      <alignment horizontal="left" vertical="top" wrapText="1"/>
    </xf>
    <xf numFmtId="0" fontId="0" fillId="0" borderId="34" xfId="0" applyFill="1" applyBorder="1" applyAlignment="1">
      <alignment wrapText="1"/>
    </xf>
    <xf numFmtId="0" fontId="8" fillId="19" borderId="0" xfId="0" applyFont="1" applyFill="1" applyAlignment="1">
      <alignment horizontal="left"/>
    </xf>
    <xf numFmtId="0" fontId="18" fillId="8" borderId="30" xfId="6" applyFont="1" applyBorder="1" applyAlignment="1"/>
    <xf numFmtId="44" fontId="20" fillId="0" borderId="0" xfId="2" applyFont="1" applyFill="1" applyAlignment="1">
      <alignment vertical="center"/>
    </xf>
    <xf numFmtId="44" fontId="34" fillId="0" borderId="0" xfId="2" applyFont="1" applyFill="1" applyAlignment="1">
      <alignment vertical="center"/>
    </xf>
    <xf numFmtId="0" fontId="0" fillId="0" borderId="0" xfId="0" applyFont="1" applyBorder="1"/>
    <xf numFmtId="0" fontId="0" fillId="0" borderId="0" xfId="0" applyFont="1" applyFill="1" applyBorder="1"/>
    <xf numFmtId="0" fontId="0" fillId="0" borderId="0" xfId="0" applyFont="1" applyFill="1" applyBorder="1" applyAlignment="1">
      <alignment wrapText="1"/>
    </xf>
    <xf numFmtId="164" fontId="0" fillId="0" borderId="0" xfId="0" applyNumberFormat="1" applyFont="1" applyFill="1" applyBorder="1" applyAlignment="1">
      <alignment horizontal="left" vertical="top" wrapText="1"/>
    </xf>
    <xf numFmtId="0" fontId="31" fillId="4" borderId="25" xfId="4" quotePrefix="1" applyFont="1" applyBorder="1" applyAlignment="1">
      <alignment horizontal="center"/>
    </xf>
    <xf numFmtId="10" fontId="31" fillId="11" borderId="25" xfId="10" quotePrefix="1" applyNumberFormat="1" applyFont="1" applyBorder="1" applyAlignment="1">
      <alignment horizontal="center"/>
    </xf>
    <xf numFmtId="0" fontId="31" fillId="12" borderId="25" xfId="9" applyFont="1" applyFill="1" applyBorder="1" applyAlignment="1">
      <alignment horizontal="center"/>
    </xf>
    <xf numFmtId="0" fontId="8" fillId="0" borderId="47" xfId="0" applyFont="1" applyBorder="1"/>
    <xf numFmtId="0" fontId="8" fillId="0" borderId="28" xfId="0" applyFont="1" applyBorder="1"/>
    <xf numFmtId="0" fontId="8" fillId="0" borderId="48" xfId="0" applyFont="1" applyBorder="1"/>
    <xf numFmtId="0" fontId="8" fillId="0" borderId="36" xfId="0" applyFont="1" applyBorder="1"/>
    <xf numFmtId="0" fontId="8" fillId="0" borderId="49" xfId="0" applyFont="1" applyBorder="1"/>
    <xf numFmtId="0" fontId="8" fillId="0" borderId="50" xfId="0" applyFont="1" applyBorder="1"/>
    <xf numFmtId="0" fontId="8" fillId="0" borderId="29" xfId="0" applyFont="1" applyBorder="1"/>
    <xf numFmtId="0" fontId="8" fillId="0" borderId="51" xfId="0" applyFont="1" applyBorder="1"/>
    <xf numFmtId="9" fontId="31" fillId="13" borderId="33" xfId="8" quotePrefix="1" applyNumberFormat="1" applyFont="1" applyFill="1" applyBorder="1" applyAlignment="1">
      <alignment horizontal="center"/>
    </xf>
    <xf numFmtId="0" fontId="31" fillId="3" borderId="25" xfId="8" quotePrefix="1" applyFont="1" applyFill="1" applyBorder="1" applyAlignment="1">
      <alignment horizontal="center"/>
    </xf>
    <xf numFmtId="0" fontId="38" fillId="0" borderId="0" xfId="0" applyFont="1"/>
    <xf numFmtId="44" fontId="20" fillId="0" borderId="0" xfId="2" applyFont="1" applyFill="1" applyAlignment="1"/>
    <xf numFmtId="0" fontId="18" fillId="8" borderId="30" xfId="6" applyFont="1" applyBorder="1" applyAlignment="1">
      <alignment wrapText="1"/>
    </xf>
    <xf numFmtId="44" fontId="8" fillId="0" borderId="0" xfId="0" applyNumberFormat="1" applyFont="1" applyFill="1" applyAlignment="1">
      <alignment horizontal="left"/>
    </xf>
    <xf numFmtId="1" fontId="8" fillId="0" borderId="0" xfId="0" applyNumberFormat="1" applyFont="1" applyFill="1" applyAlignment="1">
      <alignment horizontal="left"/>
    </xf>
    <xf numFmtId="0" fontId="0" fillId="0" borderId="6" xfId="0" applyNumberFormat="1" applyFont="1" applyFill="1" applyBorder="1" applyAlignment="1" applyProtection="1">
      <alignment horizontal="center" vertical="center" wrapText="1"/>
    </xf>
    <xf numFmtId="0" fontId="0" fillId="0" borderId="4" xfId="0" applyNumberFormat="1" applyFont="1" applyFill="1" applyBorder="1" applyAlignment="1" applyProtection="1">
      <alignment horizontal="center" vertical="center" wrapText="1"/>
    </xf>
    <xf numFmtId="168" fontId="0" fillId="14" borderId="62" xfId="2" applyNumberFormat="1" applyFont="1" applyFill="1" applyBorder="1" applyAlignment="1" applyProtection="1">
      <alignment horizontal="center" vertical="center" wrapText="1"/>
    </xf>
    <xf numFmtId="168" fontId="0" fillId="14" borderId="63" xfId="2" applyNumberFormat="1" applyFont="1" applyFill="1" applyBorder="1" applyAlignment="1" applyProtection="1">
      <alignment horizontal="center" vertical="center" wrapText="1"/>
    </xf>
    <xf numFmtId="168" fontId="0" fillId="14" borderId="64" xfId="2" applyNumberFormat="1" applyFont="1" applyFill="1" applyBorder="1" applyAlignment="1" applyProtection="1">
      <alignment horizontal="center" vertical="center" wrapText="1"/>
    </xf>
    <xf numFmtId="1" fontId="39" fillId="14" borderId="20" xfId="2" applyNumberFormat="1" applyFont="1" applyFill="1" applyBorder="1" applyAlignment="1" applyProtection="1">
      <alignment horizontal="center" vertical="center" wrapText="1"/>
    </xf>
    <xf numFmtId="1" fontId="39" fillId="14" borderId="22" xfId="2" applyNumberFormat="1" applyFont="1" applyFill="1" applyBorder="1" applyAlignment="1" applyProtection="1">
      <alignment horizontal="center" vertical="center" wrapText="1"/>
    </xf>
    <xf numFmtId="0" fontId="39" fillId="14" borderId="24" xfId="7" applyFont="1" applyFill="1" applyBorder="1" applyAlignment="1" applyProtection="1">
      <alignment horizontal="center" vertical="center"/>
    </xf>
    <xf numFmtId="1" fontId="0" fillId="0" borderId="40" xfId="2" applyNumberFormat="1" applyFont="1" applyFill="1" applyBorder="1" applyAlignment="1" applyProtection="1">
      <alignment horizontal="center" vertical="center" wrapText="1"/>
    </xf>
    <xf numFmtId="0" fontId="0" fillId="0" borderId="63" xfId="0" applyNumberFormat="1" applyFont="1" applyFill="1" applyBorder="1" applyAlignment="1" applyProtection="1">
      <alignment horizontal="center" vertical="center" wrapText="1"/>
    </xf>
    <xf numFmtId="1" fontId="0" fillId="0" borderId="38" xfId="2" applyNumberFormat="1" applyFont="1" applyFill="1" applyBorder="1" applyAlignment="1" applyProtection="1">
      <alignment horizontal="center" vertical="center" wrapText="1"/>
    </xf>
    <xf numFmtId="1" fontId="0" fillId="0" borderId="57" xfId="2" applyNumberFormat="1" applyFont="1" applyFill="1" applyBorder="1" applyAlignment="1" applyProtection="1">
      <alignment horizontal="center" vertical="center" wrapText="1"/>
    </xf>
    <xf numFmtId="44" fontId="13" fillId="14" borderId="39" xfId="2" applyFont="1" applyFill="1" applyBorder="1" applyAlignment="1" applyProtection="1">
      <alignment horizontal="center" vertical="center" wrapText="1"/>
    </xf>
    <xf numFmtId="44" fontId="13" fillId="14" borderId="40" xfId="2" applyFont="1" applyFill="1" applyBorder="1" applyAlignment="1" applyProtection="1">
      <alignment horizontal="center" vertical="center" wrapText="1"/>
    </xf>
    <xf numFmtId="44" fontId="13" fillId="14" borderId="44" xfId="2" applyFont="1" applyFill="1" applyBorder="1" applyAlignment="1" applyProtection="1">
      <alignment horizontal="center" vertical="center" wrapText="1"/>
    </xf>
    <xf numFmtId="164" fontId="0" fillId="0" borderId="0" xfId="0" applyNumberFormat="1" applyFont="1" applyFill="1" applyBorder="1" applyAlignment="1">
      <alignment horizontal="left" vertical="top"/>
    </xf>
    <xf numFmtId="0" fontId="0" fillId="0" borderId="0" xfId="0" applyFont="1" applyBorder="1" applyAlignment="1">
      <alignment vertical="top"/>
    </xf>
    <xf numFmtId="0" fontId="4" fillId="0" borderId="0" xfId="0" applyFont="1" applyBorder="1" applyAlignment="1">
      <alignment vertical="top"/>
    </xf>
    <xf numFmtId="0" fontId="5" fillId="0" borderId="0" xfId="0" applyFont="1" applyBorder="1" applyAlignment="1">
      <alignment vertical="top"/>
    </xf>
    <xf numFmtId="0" fontId="0" fillId="0" borderId="0" xfId="0" applyBorder="1" applyAlignment="1">
      <alignment vertical="top"/>
    </xf>
    <xf numFmtId="0" fontId="1" fillId="0" borderId="0" xfId="0" applyFont="1" applyBorder="1" applyAlignment="1">
      <alignment vertical="top"/>
    </xf>
    <xf numFmtId="0" fontId="3" fillId="0" borderId="0" xfId="0" applyFont="1" applyBorder="1" applyAlignment="1">
      <alignment horizontal="center" vertical="top"/>
    </xf>
    <xf numFmtId="1" fontId="3" fillId="0" borderId="0" xfId="0" applyNumberFormat="1" applyFont="1" applyFill="1" applyBorder="1" applyAlignment="1">
      <alignment horizontal="center" vertical="top"/>
    </xf>
    <xf numFmtId="164" fontId="1" fillId="0" borderId="0" xfId="0" applyNumberFormat="1" applyFont="1" applyFill="1" applyBorder="1" applyAlignment="1">
      <alignment horizontal="center" vertical="top"/>
    </xf>
    <xf numFmtId="164" fontId="3" fillId="0" borderId="0" xfId="0" applyNumberFormat="1" applyFont="1" applyFill="1" applyBorder="1" applyAlignment="1">
      <alignment horizontal="left" vertical="top"/>
    </xf>
    <xf numFmtId="164" fontId="3" fillId="0" borderId="0" xfId="0" applyNumberFormat="1" applyFont="1" applyFill="1" applyBorder="1" applyAlignment="1">
      <alignment horizontal="left" vertical="top" wrapText="1"/>
    </xf>
    <xf numFmtId="0" fontId="0" fillId="0" borderId="0" xfId="0" applyFill="1" applyBorder="1" applyAlignment="1">
      <alignment vertical="top"/>
    </xf>
    <xf numFmtId="0" fontId="0" fillId="0" borderId="0" xfId="0" applyAlignment="1">
      <alignment vertical="top"/>
    </xf>
    <xf numFmtId="0" fontId="0" fillId="14" borderId="0" xfId="0" applyFill="1" applyBorder="1" applyAlignment="1">
      <alignment vertical="top"/>
    </xf>
    <xf numFmtId="0" fontId="0" fillId="0" borderId="0" xfId="0" applyBorder="1" applyAlignment="1">
      <alignment horizontal="center" vertical="top"/>
    </xf>
    <xf numFmtId="1" fontId="7" fillId="0" borderId="0" xfId="0" applyNumberFormat="1" applyFont="1" applyFill="1" applyBorder="1" applyAlignment="1">
      <alignment horizontal="center" vertical="top"/>
    </xf>
    <xf numFmtId="164" fontId="2" fillId="0" borderId="0" xfId="0" applyNumberFormat="1" applyFont="1" applyFill="1" applyBorder="1" applyAlignment="1">
      <alignment horizontal="center" vertical="top"/>
    </xf>
    <xf numFmtId="164" fontId="1" fillId="0" borderId="0" xfId="0" applyNumberFormat="1" applyFont="1" applyFill="1" applyBorder="1" applyAlignment="1">
      <alignment horizontal="left" vertical="top"/>
    </xf>
    <xf numFmtId="164" fontId="1" fillId="0" borderId="0" xfId="0" applyNumberFormat="1" applyFont="1" applyFill="1" applyBorder="1" applyAlignment="1">
      <alignment horizontal="left" vertical="top" wrapText="1"/>
    </xf>
    <xf numFmtId="165" fontId="0" fillId="0" borderId="0" xfId="0" applyNumberFormat="1" applyBorder="1" applyAlignment="1">
      <alignment vertical="top"/>
    </xf>
    <xf numFmtId="0" fontId="2" fillId="0" borderId="0" xfId="0" applyFont="1" applyFill="1" applyBorder="1" applyAlignment="1">
      <alignment vertical="top"/>
    </xf>
    <xf numFmtId="1" fontId="0" fillId="0" borderId="0" xfId="0" applyNumberFormat="1" applyFill="1" applyBorder="1" applyAlignment="1">
      <alignment horizontal="center" vertical="top"/>
    </xf>
    <xf numFmtId="167" fontId="9" fillId="0" borderId="0" xfId="0" applyNumberFormat="1" applyFont="1" applyBorder="1" applyAlignment="1">
      <alignment vertical="top"/>
    </xf>
    <xf numFmtId="0" fontId="3" fillId="0" borderId="0" xfId="0" applyFont="1" applyBorder="1" applyAlignment="1">
      <alignment vertical="top"/>
    </xf>
    <xf numFmtId="167" fontId="14" fillId="0" borderId="0" xfId="1" applyNumberFormat="1" applyFont="1" applyBorder="1" applyAlignment="1">
      <alignment vertical="top"/>
    </xf>
    <xf numFmtId="165" fontId="9" fillId="0" borderId="0" xfId="1" applyNumberFormat="1" applyFont="1" applyBorder="1" applyAlignment="1">
      <alignment vertical="top"/>
    </xf>
    <xf numFmtId="165" fontId="14" fillId="0" borderId="0" xfId="0" applyNumberFormat="1" applyFont="1" applyBorder="1" applyAlignment="1">
      <alignment vertical="top"/>
    </xf>
    <xf numFmtId="168" fontId="9" fillId="0" borderId="0" xfId="0" applyNumberFormat="1" applyFont="1" applyBorder="1" applyAlignment="1">
      <alignment vertical="top"/>
    </xf>
    <xf numFmtId="0" fontId="0" fillId="0" borderId="0" xfId="0" applyFont="1" applyBorder="1" applyAlignment="1">
      <alignment horizontal="center" vertical="top"/>
    </xf>
    <xf numFmtId="1" fontId="0" fillId="0" borderId="0" xfId="0" applyNumberFormat="1" applyFont="1" applyFill="1" applyBorder="1" applyAlignment="1">
      <alignment horizontal="center" vertical="top"/>
    </xf>
    <xf numFmtId="2" fontId="0" fillId="0" borderId="0" xfId="0" applyNumberFormat="1" applyFont="1" applyBorder="1" applyAlignment="1">
      <alignment horizontal="center" vertical="top"/>
    </xf>
    <xf numFmtId="0" fontId="0" fillId="0" borderId="0" xfId="0" applyFont="1" applyFill="1" applyBorder="1" applyAlignment="1">
      <alignment vertical="top"/>
    </xf>
    <xf numFmtId="1" fontId="2" fillId="0" borderId="0" xfId="0" applyNumberFormat="1" applyFont="1" applyFill="1" applyBorder="1" applyAlignment="1">
      <alignment horizontal="center" vertical="top"/>
    </xf>
    <xf numFmtId="1" fontId="0" fillId="0" borderId="0" xfId="0" applyNumberFormat="1" applyFont="1" applyFill="1" applyBorder="1" applyAlignment="1">
      <alignment horizontal="left" vertical="top" wrapText="1"/>
    </xf>
    <xf numFmtId="167" fontId="9" fillId="0" borderId="29" xfId="0" applyNumberFormat="1" applyFont="1" applyBorder="1" applyAlignment="1">
      <alignment vertical="top"/>
    </xf>
    <xf numFmtId="0" fontId="3" fillId="0" borderId="29" xfId="0" applyFont="1" applyBorder="1" applyAlignment="1">
      <alignment vertical="top"/>
    </xf>
    <xf numFmtId="167" fontId="14" fillId="0" borderId="29" xfId="1" applyNumberFormat="1" applyFont="1" applyBorder="1" applyAlignment="1">
      <alignment vertical="top"/>
    </xf>
    <xf numFmtId="165" fontId="9" fillId="0" borderId="29" xfId="1" applyNumberFormat="1" applyFont="1" applyBorder="1" applyAlignment="1">
      <alignment vertical="top"/>
    </xf>
    <xf numFmtId="0" fontId="0" fillId="0" borderId="29" xfId="0" applyFont="1" applyBorder="1" applyAlignment="1">
      <alignment vertical="top"/>
    </xf>
    <xf numFmtId="165" fontId="14" fillId="0" borderId="29" xfId="0" applyNumberFormat="1" applyFont="1" applyBorder="1" applyAlignment="1">
      <alignment vertical="top"/>
    </xf>
    <xf numFmtId="168" fontId="9" fillId="0" borderId="29" xfId="0" applyNumberFormat="1" applyFont="1" applyBorder="1" applyAlignment="1">
      <alignment vertical="top"/>
    </xf>
    <xf numFmtId="0" fontId="0" fillId="0" borderId="29" xfId="0" applyFont="1" applyBorder="1" applyAlignment="1">
      <alignment horizontal="center" vertical="top"/>
    </xf>
    <xf numFmtId="1" fontId="0" fillId="0" borderId="29" xfId="0" applyNumberFormat="1" applyFont="1" applyFill="1" applyBorder="1" applyAlignment="1">
      <alignment horizontal="center" vertical="top"/>
    </xf>
    <xf numFmtId="164" fontId="2" fillId="0" borderId="29" xfId="0" applyNumberFormat="1" applyFont="1" applyFill="1" applyBorder="1" applyAlignment="1">
      <alignment horizontal="center" vertical="top"/>
    </xf>
    <xf numFmtId="164" fontId="0" fillId="0" borderId="29" xfId="0" applyNumberFormat="1" applyFont="1" applyFill="1" applyBorder="1" applyAlignment="1">
      <alignment horizontal="left" vertical="top"/>
    </xf>
    <xf numFmtId="1" fontId="0" fillId="0" borderId="29" xfId="0" applyNumberFormat="1" applyFont="1" applyFill="1" applyBorder="1" applyAlignment="1">
      <alignment horizontal="left" vertical="top" wrapText="1"/>
    </xf>
    <xf numFmtId="0" fontId="0" fillId="0" borderId="29" xfId="0" applyFont="1" applyFill="1" applyBorder="1" applyAlignment="1">
      <alignment vertical="top"/>
    </xf>
    <xf numFmtId="0" fontId="0" fillId="0" borderId="0" xfId="0" applyFont="1" applyFill="1" applyBorder="1" applyAlignment="1">
      <alignment horizontal="center" vertical="top"/>
    </xf>
    <xf numFmtId="0" fontId="3" fillId="0" borderId="0" xfId="0" applyFont="1" applyFill="1" applyBorder="1" applyAlignment="1">
      <alignment vertical="top"/>
    </xf>
    <xf numFmtId="167" fontId="14" fillId="0" borderId="0" xfId="1" applyNumberFormat="1" applyFont="1" applyFill="1" applyBorder="1" applyAlignment="1">
      <alignment vertical="top"/>
    </xf>
    <xf numFmtId="165" fontId="9" fillId="0" borderId="0" xfId="1" applyNumberFormat="1" applyFont="1" applyFill="1" applyBorder="1" applyAlignment="1">
      <alignment vertical="top"/>
    </xf>
    <xf numFmtId="165" fontId="14" fillId="0" borderId="0" xfId="0" applyNumberFormat="1" applyFont="1" applyFill="1" applyBorder="1" applyAlignment="1">
      <alignment vertical="top"/>
    </xf>
    <xf numFmtId="168" fontId="9" fillId="0" borderId="0" xfId="0" applyNumberFormat="1" applyFont="1" applyFill="1" applyBorder="1" applyAlignment="1">
      <alignment vertical="top"/>
    </xf>
    <xf numFmtId="0" fontId="0" fillId="0" borderId="0" xfId="0" applyFont="1" applyFill="1" applyBorder="1" applyAlignment="1">
      <alignment vertical="top" wrapText="1"/>
    </xf>
    <xf numFmtId="0" fontId="0" fillId="0" borderId="29" xfId="0" applyFont="1" applyFill="1" applyBorder="1" applyAlignment="1">
      <alignment horizontal="center" vertical="top"/>
    </xf>
    <xf numFmtId="164" fontId="0" fillId="0" borderId="29" xfId="0" applyNumberFormat="1" applyFont="1" applyFill="1" applyBorder="1" applyAlignment="1">
      <alignment horizontal="left" vertical="top" wrapText="1"/>
    </xf>
    <xf numFmtId="0" fontId="0" fillId="0" borderId="29" xfId="0" applyFont="1" applyFill="1" applyBorder="1" applyAlignment="1">
      <alignment vertical="top" wrapText="1"/>
    </xf>
    <xf numFmtId="0" fontId="0" fillId="14" borderId="0" xfId="0" applyFont="1" applyFill="1" applyBorder="1" applyAlignment="1">
      <alignment vertical="top"/>
    </xf>
    <xf numFmtId="0" fontId="0" fillId="14" borderId="29" xfId="0" applyFont="1" applyFill="1" applyBorder="1" applyAlignment="1">
      <alignment vertical="top"/>
    </xf>
    <xf numFmtId="0" fontId="0" fillId="0" borderId="0" xfId="0" applyFont="1" applyFill="1" applyBorder="1" applyAlignment="1">
      <alignment horizontal="center" vertical="top" wrapText="1"/>
    </xf>
    <xf numFmtId="1" fontId="0" fillId="0" borderId="0" xfId="0" applyNumberFormat="1" applyFont="1" applyFill="1" applyBorder="1" applyAlignment="1">
      <alignment horizontal="center" vertical="top" wrapText="1"/>
    </xf>
    <xf numFmtId="164" fontId="2" fillId="0" borderId="0" xfId="0" applyNumberFormat="1" applyFont="1" applyFill="1" applyBorder="1" applyAlignment="1">
      <alignment horizontal="center" vertical="top" wrapText="1"/>
    </xf>
    <xf numFmtId="164" fontId="0" fillId="0" borderId="0" xfId="0" applyNumberFormat="1" applyFill="1" applyAlignment="1">
      <alignment horizontal="left" vertical="top"/>
    </xf>
    <xf numFmtId="164" fontId="0" fillId="0" borderId="0" xfId="0" applyNumberFormat="1" applyFill="1" applyAlignment="1">
      <alignment horizontal="left" vertical="top" wrapText="1"/>
    </xf>
    <xf numFmtId="0" fontId="0" fillId="0" borderId="0" xfId="0" applyAlignment="1">
      <alignment horizontal="center" vertical="top"/>
    </xf>
    <xf numFmtId="1" fontId="0" fillId="0" borderId="0" xfId="0" applyNumberFormat="1" applyFill="1" applyAlignment="1">
      <alignment horizontal="center" vertical="top"/>
    </xf>
    <xf numFmtId="164" fontId="2" fillId="0" borderId="0" xfId="0" applyNumberFormat="1" applyFont="1" applyFill="1" applyAlignment="1">
      <alignment horizontal="center" vertical="top"/>
    </xf>
    <xf numFmtId="0" fontId="0" fillId="0" borderId="0" xfId="0" applyFill="1" applyAlignment="1">
      <alignment vertical="top"/>
    </xf>
    <xf numFmtId="0" fontId="3" fillId="0" borderId="0" xfId="0" applyFont="1" applyAlignment="1">
      <alignment vertical="top"/>
    </xf>
    <xf numFmtId="177" fontId="3" fillId="14" borderId="0" xfId="2" applyNumberFormat="1" applyFont="1" applyFill="1" applyBorder="1" applyAlignment="1">
      <alignment horizontal="left" wrapText="1"/>
    </xf>
    <xf numFmtId="0" fontId="0" fillId="14" borderId="0" xfId="0" applyFont="1" applyFill="1" applyBorder="1" applyAlignment="1">
      <alignment horizontal="left"/>
    </xf>
    <xf numFmtId="0" fontId="3" fillId="14" borderId="0" xfId="0" applyFont="1" applyFill="1" applyBorder="1" applyAlignment="1">
      <alignment horizontal="left"/>
    </xf>
    <xf numFmtId="0" fontId="3" fillId="14" borderId="0" xfId="0" applyFont="1" applyFill="1" applyBorder="1" applyAlignment="1">
      <alignment horizontal="left" wrapText="1"/>
    </xf>
    <xf numFmtId="0" fontId="3" fillId="14" borderId="0" xfId="0" applyFont="1" applyFill="1" applyBorder="1" applyAlignment="1"/>
    <xf numFmtId="1" fontId="3" fillId="14" borderId="0" xfId="0" applyNumberFormat="1" applyFont="1" applyFill="1" applyBorder="1" applyAlignment="1">
      <alignment horizontal="left" wrapText="1"/>
    </xf>
    <xf numFmtId="164" fontId="1" fillId="14" borderId="0" xfId="0" applyNumberFormat="1" applyFont="1" applyFill="1" applyBorder="1" applyAlignment="1">
      <alignment horizontal="left" wrapText="1"/>
    </xf>
    <xf numFmtId="164" fontId="3" fillId="14" borderId="0" xfId="0" applyNumberFormat="1" applyFont="1" applyFill="1" applyBorder="1" applyAlignment="1">
      <alignment horizontal="left" wrapText="1"/>
    </xf>
    <xf numFmtId="0" fontId="0" fillId="0" borderId="0" xfId="0" applyFont="1" applyFill="1" applyBorder="1" applyAlignment="1">
      <alignment horizontal="left"/>
    </xf>
    <xf numFmtId="0" fontId="3" fillId="0" borderId="29" xfId="0" applyFont="1" applyFill="1" applyBorder="1" applyAlignment="1">
      <alignment vertical="top"/>
    </xf>
    <xf numFmtId="167" fontId="14" fillId="0" borderId="29" xfId="1" applyNumberFormat="1" applyFont="1" applyFill="1" applyBorder="1" applyAlignment="1">
      <alignment vertical="top"/>
    </xf>
    <xf numFmtId="165" fontId="9" fillId="0" borderId="29" xfId="1" applyNumberFormat="1" applyFont="1" applyFill="1" applyBorder="1" applyAlignment="1">
      <alignment vertical="top"/>
    </xf>
    <xf numFmtId="165" fontId="14" fillId="0" borderId="29" xfId="0" applyNumberFormat="1" applyFont="1" applyFill="1" applyBorder="1" applyAlignment="1">
      <alignment vertical="top"/>
    </xf>
    <xf numFmtId="168" fontId="9" fillId="0" borderId="29" xfId="0" applyNumberFormat="1" applyFont="1" applyFill="1" applyBorder="1" applyAlignment="1">
      <alignment vertical="top"/>
    </xf>
    <xf numFmtId="1" fontId="0" fillId="0" borderId="29" xfId="0" applyNumberFormat="1" applyFont="1" applyFill="1" applyBorder="1" applyAlignment="1">
      <alignment horizontal="center" vertical="top" wrapText="1"/>
    </xf>
    <xf numFmtId="164" fontId="2" fillId="0" borderId="29" xfId="0" applyNumberFormat="1" applyFont="1" applyFill="1" applyBorder="1" applyAlignment="1">
      <alignment horizontal="center" vertical="top" wrapText="1"/>
    </xf>
    <xf numFmtId="0" fontId="0" fillId="0" borderId="29" xfId="0" applyFill="1" applyBorder="1" applyAlignment="1">
      <alignment vertical="top"/>
    </xf>
    <xf numFmtId="0" fontId="0" fillId="18" borderId="0" xfId="0" applyFont="1" applyFill="1" applyBorder="1" applyAlignment="1">
      <alignment vertical="top"/>
    </xf>
    <xf numFmtId="0" fontId="8" fillId="6" borderId="0" xfId="11" applyFont="1" applyFill="1" applyAlignment="1">
      <alignment horizontal="left"/>
    </xf>
    <xf numFmtId="0" fontId="8" fillId="0" borderId="0" xfId="11" applyFont="1" applyAlignment="1">
      <alignment horizontal="left"/>
    </xf>
    <xf numFmtId="44" fontId="8" fillId="0" borderId="0" xfId="12" applyFont="1" applyFill="1" applyAlignment="1"/>
    <xf numFmtId="44" fontId="20" fillId="0" borderId="0" xfId="12" applyFont="1" applyFill="1" applyAlignment="1"/>
    <xf numFmtId="44" fontId="8" fillId="0" borderId="0" xfId="12" applyFont="1" applyAlignment="1">
      <alignment horizontal="left"/>
    </xf>
    <xf numFmtId="2" fontId="8" fillId="0" borderId="0" xfId="12" applyNumberFormat="1" applyFont="1" applyAlignment="1">
      <alignment horizontal="left"/>
    </xf>
    <xf numFmtId="173" fontId="8" fillId="0" borderId="0" xfId="12" applyNumberFormat="1" applyFont="1" applyAlignment="1">
      <alignment horizontal="left"/>
    </xf>
    <xf numFmtId="173" fontId="8" fillId="0" borderId="0" xfId="12" applyNumberFormat="1" applyFont="1" applyFill="1" applyBorder="1" applyAlignment="1">
      <alignment horizontal="left"/>
    </xf>
    <xf numFmtId="0" fontId="18" fillId="8" borderId="0" xfId="6" applyFont="1" applyBorder="1"/>
    <xf numFmtId="0" fontId="18" fillId="8" borderId="45" xfId="6" applyFont="1" applyBorder="1"/>
    <xf numFmtId="0" fontId="16" fillId="8" borderId="30" xfId="6"/>
    <xf numFmtId="0" fontId="18" fillId="8" borderId="30" xfId="6" applyFont="1"/>
    <xf numFmtId="165" fontId="9" fillId="0" borderId="0" xfId="13" applyNumberFormat="1" applyFont="1" applyBorder="1"/>
    <xf numFmtId="164" fontId="0" fillId="0" borderId="0" xfId="0" applyNumberFormat="1" applyFill="1" applyBorder="1" applyAlignment="1">
      <alignment horizontal="left" vertical="top"/>
    </xf>
    <xf numFmtId="0" fontId="3" fillId="0" borderId="0" xfId="11" applyFont="1" applyBorder="1"/>
    <xf numFmtId="0" fontId="13" fillId="0" borderId="0" xfId="11" applyBorder="1"/>
    <xf numFmtId="168" fontId="9" fillId="0" borderId="0" xfId="11" applyNumberFormat="1" applyFont="1" applyBorder="1"/>
    <xf numFmtId="0" fontId="13" fillId="0" borderId="0" xfId="11" applyBorder="1" applyAlignment="1">
      <alignment horizontal="center"/>
    </xf>
    <xf numFmtId="1" fontId="13" fillId="0" borderId="0" xfId="11" applyNumberFormat="1" applyBorder="1" applyAlignment="1">
      <alignment horizontal="center"/>
    </xf>
    <xf numFmtId="164" fontId="13" fillId="0" borderId="0" xfId="11" applyNumberFormat="1" applyBorder="1" applyAlignment="1">
      <alignment horizontal="left"/>
    </xf>
    <xf numFmtId="9" fontId="3" fillId="0" borderId="0" xfId="3" applyFont="1" applyFill="1" applyBorder="1" applyAlignment="1">
      <alignment horizontal="center" vertical="top"/>
    </xf>
    <xf numFmtId="0" fontId="0" fillId="0" borderId="34" xfId="0" quotePrefix="1" applyFill="1" applyBorder="1" applyAlignment="1">
      <alignment vertical="top" wrapText="1"/>
    </xf>
    <xf numFmtId="0" fontId="0" fillId="0" borderId="32" xfId="0" quotePrefix="1" applyFill="1" applyBorder="1" applyAlignment="1">
      <alignment vertical="top" wrapText="1"/>
    </xf>
    <xf numFmtId="0" fontId="0" fillId="20" borderId="34" xfId="0" applyFill="1" applyBorder="1" applyAlignment="1">
      <alignment wrapText="1"/>
    </xf>
    <xf numFmtId="164" fontId="0" fillId="14" borderId="16" xfId="2" applyNumberFormat="1" applyFont="1" applyFill="1" applyBorder="1" applyAlignment="1" applyProtection="1">
      <alignment horizontal="center" vertical="center" wrapText="1"/>
    </xf>
    <xf numFmtId="164" fontId="0" fillId="14" borderId="14" xfId="2" applyNumberFormat="1" applyFont="1" applyFill="1" applyBorder="1" applyAlignment="1" applyProtection="1">
      <alignment horizontal="center" vertical="center" wrapText="1"/>
    </xf>
    <xf numFmtId="2" fontId="0" fillId="0" borderId="0" xfId="0" quotePrefix="1" applyNumberFormat="1" applyBorder="1" applyAlignment="1">
      <alignment horizontal="left" vertical="top"/>
    </xf>
    <xf numFmtId="2" fontId="0" fillId="0" borderId="0" xfId="0" quotePrefix="1" applyNumberFormat="1" applyBorder="1" applyAlignment="1">
      <alignment horizontal="center" vertical="top"/>
    </xf>
    <xf numFmtId="2" fontId="3" fillId="14" borderId="0" xfId="0" applyNumberFormat="1" applyFont="1" applyFill="1" applyBorder="1" applyAlignment="1">
      <alignment horizontal="left" wrapText="1"/>
    </xf>
    <xf numFmtId="2" fontId="0" fillId="0" borderId="25" xfId="0" applyNumberFormat="1" applyBorder="1" applyAlignment="1">
      <alignment horizontal="center" vertical="top"/>
    </xf>
    <xf numFmtId="2" fontId="27" fillId="0" borderId="25" xfId="3" applyNumberFormat="1" applyFont="1" applyBorder="1" applyAlignment="1">
      <alignment horizontal="center" vertical="center"/>
    </xf>
    <xf numFmtId="2" fontId="0" fillId="0" borderId="0" xfId="3" applyNumberFormat="1" applyFont="1" applyBorder="1" applyAlignment="1">
      <alignment horizontal="center" vertical="center"/>
    </xf>
    <xf numFmtId="2" fontId="0" fillId="0" borderId="0" xfId="0" applyNumberFormat="1" applyBorder="1" applyAlignment="1">
      <alignment horizontal="center" vertical="center"/>
    </xf>
    <xf numFmtId="2" fontId="3" fillId="14" borderId="0" xfId="0" applyNumberFormat="1" applyFont="1" applyFill="1" applyBorder="1" applyAlignment="1">
      <alignment horizontal="left" vertical="center" wrapText="1"/>
    </xf>
    <xf numFmtId="2" fontId="0" fillId="0" borderId="0" xfId="3" applyNumberFormat="1" applyFont="1" applyFill="1" applyBorder="1" applyAlignment="1">
      <alignment horizontal="center" vertical="center"/>
    </xf>
    <xf numFmtId="2" fontId="0" fillId="0" borderId="29" xfId="3" applyNumberFormat="1" applyFont="1" applyBorder="1" applyAlignment="1">
      <alignment horizontal="center" vertical="center"/>
    </xf>
    <xf numFmtId="2" fontId="0" fillId="0" borderId="29" xfId="3" applyNumberFormat="1" applyFont="1" applyFill="1" applyBorder="1" applyAlignment="1">
      <alignment horizontal="center" vertical="center"/>
    </xf>
    <xf numFmtId="2" fontId="0" fillId="0" borderId="0" xfId="0" applyNumberFormat="1" applyAlignment="1">
      <alignment horizontal="center" vertical="center"/>
    </xf>
    <xf numFmtId="2" fontId="19" fillId="2" borderId="25" xfId="7" applyNumberFormat="1" applyFill="1" applyBorder="1" applyAlignment="1" applyProtection="1">
      <alignment horizontal="center" vertical="top" wrapText="1"/>
    </xf>
    <xf numFmtId="2" fontId="27" fillId="0" borderId="17" xfId="3" applyNumberFormat="1" applyFont="1" applyBorder="1" applyAlignment="1">
      <alignment horizontal="center" vertical="center"/>
    </xf>
    <xf numFmtId="2" fontId="27" fillId="0" borderId="26" xfId="3" applyNumberFormat="1" applyFont="1" applyBorder="1" applyAlignment="1">
      <alignment horizontal="center" vertical="center"/>
    </xf>
    <xf numFmtId="0" fontId="31" fillId="20" borderId="34" xfId="0" quotePrefix="1" applyFont="1" applyFill="1" applyBorder="1" applyAlignment="1">
      <alignment horizontal="center" vertical="center" wrapText="1"/>
    </xf>
    <xf numFmtId="0" fontId="31" fillId="0" borderId="32" xfId="9" applyFont="1" applyFill="1" applyBorder="1" applyAlignment="1">
      <alignment horizontal="center"/>
    </xf>
    <xf numFmtId="2" fontId="31" fillId="13" borderId="33" xfId="8" quotePrefix="1" applyNumberFormat="1" applyFont="1" applyFill="1" applyBorder="1" applyAlignment="1">
      <alignment horizontal="center"/>
    </xf>
    <xf numFmtId="2" fontId="31" fillId="3" borderId="25" xfId="8" quotePrefix="1" applyNumberFormat="1" applyFont="1" applyFill="1" applyBorder="1" applyAlignment="1">
      <alignment horizontal="center"/>
    </xf>
    <xf numFmtId="2" fontId="31" fillId="11" borderId="25" xfId="10" quotePrefix="1" applyNumberFormat="1" applyFont="1" applyBorder="1" applyAlignment="1">
      <alignment horizontal="center"/>
    </xf>
    <xf numFmtId="2" fontId="31" fillId="0" borderId="32" xfId="9" applyNumberFormat="1" applyFont="1" applyFill="1" applyBorder="1" applyAlignment="1">
      <alignment horizontal="center"/>
    </xf>
    <xf numFmtId="49" fontId="31" fillId="4" borderId="25" xfId="4" quotePrefix="1" applyNumberFormat="1" applyFont="1" applyBorder="1" applyAlignment="1">
      <alignment horizontal="center"/>
    </xf>
    <xf numFmtId="2" fontId="31" fillId="12" borderId="25" xfId="9" quotePrefix="1" applyNumberFormat="1" applyFont="1" applyFill="1" applyBorder="1" applyAlignment="1">
      <alignment horizontal="center"/>
    </xf>
    <xf numFmtId="2" fontId="31" fillId="20" borderId="34" xfId="0" quotePrefix="1" applyNumberFormat="1" applyFont="1" applyFill="1" applyBorder="1" applyAlignment="1">
      <alignment horizontal="center" wrapText="1"/>
    </xf>
    <xf numFmtId="175" fontId="3" fillId="0" borderId="0" xfId="0" applyNumberFormat="1" applyFont="1" applyFill="1" applyBorder="1" applyAlignment="1">
      <alignment horizontal="center" vertical="top"/>
    </xf>
    <xf numFmtId="173" fontId="8" fillId="0" borderId="0" xfId="12" applyNumberFormat="1" applyFont="1" applyBorder="1" applyAlignment="1">
      <alignment horizontal="left"/>
    </xf>
    <xf numFmtId="0" fontId="0" fillId="14" borderId="0" xfId="0" applyFont="1" applyFill="1" applyBorder="1" applyAlignment="1">
      <alignment horizontal="left" vertical="top"/>
    </xf>
    <xf numFmtId="0" fontId="0" fillId="0" borderId="0" xfId="0" applyFont="1" applyFill="1" applyBorder="1" applyAlignment="1">
      <alignment horizontal="left" vertical="top"/>
    </xf>
    <xf numFmtId="178" fontId="0" fillId="0" borderId="0" xfId="0" applyNumberFormat="1" applyFont="1" applyFill="1" applyBorder="1" applyAlignment="1">
      <alignment vertical="top"/>
    </xf>
    <xf numFmtId="167" fontId="9" fillId="0" borderId="28" xfId="0" applyNumberFormat="1" applyFont="1" applyBorder="1" applyAlignment="1">
      <alignment vertical="top"/>
    </xf>
    <xf numFmtId="0" fontId="3" fillId="0" borderId="28" xfId="0" applyFont="1" applyBorder="1" applyAlignment="1">
      <alignment vertical="top"/>
    </xf>
    <xf numFmtId="167" fontId="14" fillId="0" borderId="28" xfId="1" applyNumberFormat="1" applyFont="1" applyBorder="1" applyAlignment="1">
      <alignment vertical="top"/>
    </xf>
    <xf numFmtId="165" fontId="9" fillId="0" borderId="28" xfId="1" applyNumberFormat="1" applyFont="1" applyBorder="1" applyAlignment="1">
      <alignment vertical="top"/>
    </xf>
    <xf numFmtId="0" fontId="0" fillId="0" borderId="28" xfId="0" applyFont="1" applyBorder="1" applyAlignment="1">
      <alignment vertical="top"/>
    </xf>
    <xf numFmtId="165" fontId="14" fillId="0" borderId="28" xfId="0" applyNumberFormat="1" applyFont="1" applyBorder="1" applyAlignment="1">
      <alignment vertical="top"/>
    </xf>
    <xf numFmtId="168" fontId="9" fillId="0" borderId="28" xfId="0" applyNumberFormat="1" applyFont="1" applyBorder="1" applyAlignment="1">
      <alignment vertical="top"/>
    </xf>
    <xf numFmtId="0" fontId="0" fillId="0" borderId="28" xfId="0" applyFont="1" applyBorder="1" applyAlignment="1">
      <alignment horizontal="center" vertical="top"/>
    </xf>
    <xf numFmtId="2" fontId="0" fillId="0" borderId="28" xfId="3" applyNumberFormat="1" applyFont="1" applyBorder="1" applyAlignment="1">
      <alignment horizontal="center" vertical="center"/>
    </xf>
    <xf numFmtId="2" fontId="27" fillId="0" borderId="28" xfId="3" applyNumberFormat="1" applyFont="1" applyBorder="1" applyAlignment="1">
      <alignment horizontal="center" vertical="center"/>
    </xf>
    <xf numFmtId="1" fontId="0" fillId="0" borderId="28" xfId="0" applyNumberFormat="1" applyFont="1" applyFill="1" applyBorder="1" applyAlignment="1">
      <alignment horizontal="center" vertical="top"/>
    </xf>
    <xf numFmtId="164" fontId="2" fillId="0" borderId="28" xfId="0" applyNumberFormat="1" applyFont="1" applyFill="1" applyBorder="1" applyAlignment="1">
      <alignment horizontal="center" vertical="top"/>
    </xf>
    <xf numFmtId="164" fontId="0" fillId="0" borderId="28" xfId="0" applyNumberFormat="1" applyFont="1" applyFill="1" applyBorder="1" applyAlignment="1">
      <alignment horizontal="left" vertical="top"/>
    </xf>
    <xf numFmtId="164" fontId="0" fillId="0" borderId="28" xfId="0" applyNumberFormat="1" applyFont="1" applyFill="1" applyBorder="1" applyAlignment="1">
      <alignment horizontal="left" vertical="top" wrapText="1"/>
    </xf>
    <xf numFmtId="0" fontId="0" fillId="0" borderId="28" xfId="0" applyFont="1" applyFill="1" applyBorder="1" applyAlignment="1">
      <alignment vertical="top"/>
    </xf>
    <xf numFmtId="2" fontId="27" fillId="0" borderId="0" xfId="3" applyNumberFormat="1" applyFont="1" applyBorder="1" applyAlignment="1">
      <alignment horizontal="center" vertical="center"/>
    </xf>
    <xf numFmtId="2" fontId="27" fillId="0" borderId="29" xfId="3" applyNumberFormat="1" applyFont="1" applyBorder="1" applyAlignment="1">
      <alignment horizontal="center" vertical="center"/>
    </xf>
    <xf numFmtId="164" fontId="13" fillId="0" borderId="0" xfId="11" applyNumberFormat="1" applyBorder="1" applyAlignment="1">
      <alignment horizontal="left" wrapText="1"/>
    </xf>
    <xf numFmtId="164" fontId="0" fillId="0" borderId="0" xfId="0" applyNumberFormat="1" applyFill="1" applyBorder="1" applyAlignment="1">
      <alignment horizontal="left" vertical="top" wrapText="1"/>
    </xf>
    <xf numFmtId="0" fontId="7" fillId="0" borderId="0" xfId="0" applyFont="1" applyBorder="1" applyAlignment="1">
      <alignment vertical="top"/>
    </xf>
    <xf numFmtId="2" fontId="0" fillId="0" borderId="28" xfId="3" applyNumberFormat="1" applyFont="1" applyFill="1" applyBorder="1" applyAlignment="1">
      <alignment horizontal="center" vertical="center"/>
    </xf>
    <xf numFmtId="2" fontId="0" fillId="0" borderId="0" xfId="0" applyNumberFormat="1" applyBorder="1" applyAlignment="1">
      <alignment horizontal="center" vertical="top"/>
    </xf>
    <xf numFmtId="2" fontId="0" fillId="0" borderId="0" xfId="0" applyNumberFormat="1" applyBorder="1" applyAlignment="1">
      <alignment horizontal="left" vertical="center"/>
    </xf>
    <xf numFmtId="0" fontId="0" fillId="14" borderId="28" xfId="0" applyFont="1" applyFill="1" applyBorder="1" applyAlignment="1">
      <alignment vertical="top"/>
    </xf>
    <xf numFmtId="179" fontId="3" fillId="14" borderId="0" xfId="2" applyNumberFormat="1" applyFont="1" applyFill="1" applyBorder="1" applyAlignment="1">
      <alignment horizontal="left" wrapText="1"/>
    </xf>
    <xf numFmtId="179" fontId="3" fillId="0" borderId="0" xfId="2" applyNumberFormat="1" applyFont="1" applyBorder="1" applyAlignment="1">
      <alignment horizontal="right" vertical="top"/>
    </xf>
    <xf numFmtId="179" fontId="0" fillId="0" borderId="0" xfId="2" applyNumberFormat="1" applyFont="1" applyBorder="1" applyAlignment="1">
      <alignment horizontal="right" vertical="top"/>
    </xf>
    <xf numFmtId="179" fontId="0" fillId="0" borderId="28" xfId="2" applyNumberFormat="1" applyFont="1" applyBorder="1" applyAlignment="1">
      <alignment horizontal="right" vertical="top"/>
    </xf>
    <xf numFmtId="179" fontId="0" fillId="0" borderId="0" xfId="2" applyNumberFormat="1" applyFont="1" applyFill="1" applyBorder="1" applyAlignment="1">
      <alignment horizontal="right" vertical="top"/>
    </xf>
    <xf numFmtId="179" fontId="0" fillId="0" borderId="29" xfId="2" applyNumberFormat="1" applyFont="1" applyBorder="1" applyAlignment="1">
      <alignment horizontal="right" vertical="top"/>
    </xf>
    <xf numFmtId="179" fontId="0" fillId="0" borderId="29" xfId="2" applyNumberFormat="1" applyFont="1" applyFill="1" applyBorder="1" applyAlignment="1">
      <alignment horizontal="right" vertical="top"/>
    </xf>
    <xf numFmtId="179" fontId="0" fillId="21" borderId="0" xfId="2" applyNumberFormat="1" applyFont="1" applyFill="1" applyBorder="1" applyAlignment="1">
      <alignment horizontal="right" vertical="top"/>
    </xf>
    <xf numFmtId="179" fontId="0" fillId="15" borderId="0" xfId="2" applyNumberFormat="1" applyFont="1" applyFill="1" applyBorder="1" applyAlignment="1">
      <alignment horizontal="right" vertical="top"/>
    </xf>
    <xf numFmtId="179" fontId="0" fillId="0" borderId="0" xfId="12" applyNumberFormat="1" applyFont="1" applyFill="1" applyBorder="1" applyAlignment="1">
      <alignment horizontal="right"/>
    </xf>
    <xf numFmtId="179" fontId="0" fillId="0" borderId="0" xfId="2" applyNumberFormat="1" applyFont="1" applyAlignment="1">
      <alignment horizontal="right" vertical="top"/>
    </xf>
    <xf numFmtId="0" fontId="3" fillId="0" borderId="0" xfId="0" applyFont="1" applyBorder="1" applyAlignment="1">
      <alignment horizontal="right" vertical="top"/>
    </xf>
    <xf numFmtId="164" fontId="1" fillId="0" borderId="0" xfId="0" applyNumberFormat="1" applyFont="1" applyFill="1" applyBorder="1" applyAlignment="1">
      <alignment horizontal="right" vertical="top"/>
    </xf>
    <xf numFmtId="0" fontId="0" fillId="0" borderId="0" xfId="0" applyBorder="1" applyAlignment="1">
      <alignment horizontal="right" vertical="top"/>
    </xf>
    <xf numFmtId="164" fontId="2" fillId="0" borderId="0" xfId="0" applyNumberFormat="1" applyFont="1" applyFill="1" applyBorder="1" applyAlignment="1">
      <alignment horizontal="right" vertical="top"/>
    </xf>
    <xf numFmtId="2" fontId="0" fillId="0" borderId="28" xfId="0" applyNumberFormat="1" applyFont="1" applyBorder="1" applyAlignment="1">
      <alignment horizontal="right" vertical="top"/>
    </xf>
    <xf numFmtId="164" fontId="2" fillId="0" borderId="28" xfId="0" applyNumberFormat="1" applyFont="1" applyFill="1" applyBorder="1" applyAlignment="1">
      <alignment horizontal="right" vertical="top"/>
    </xf>
    <xf numFmtId="2" fontId="0" fillId="0" borderId="0" xfId="0" applyNumberFormat="1" applyFont="1" applyBorder="1" applyAlignment="1">
      <alignment horizontal="right" vertical="top"/>
    </xf>
    <xf numFmtId="2" fontId="0" fillId="0" borderId="29" xfId="0" applyNumberFormat="1" applyFont="1" applyBorder="1" applyAlignment="1">
      <alignment horizontal="right" vertical="top"/>
    </xf>
    <xf numFmtId="164" fontId="2" fillId="0" borderId="29" xfId="0" applyNumberFormat="1" applyFont="1" applyFill="1" applyBorder="1" applyAlignment="1">
      <alignment horizontal="right" vertical="top"/>
    </xf>
    <xf numFmtId="2" fontId="0" fillId="0" borderId="0" xfId="0" applyNumberFormat="1" applyFont="1" applyFill="1" applyBorder="1" applyAlignment="1">
      <alignment horizontal="right" vertical="top"/>
    </xf>
    <xf numFmtId="2" fontId="0" fillId="0" borderId="29" xfId="0" applyNumberFormat="1" applyFont="1" applyFill="1" applyBorder="1" applyAlignment="1">
      <alignment horizontal="right" vertical="top"/>
    </xf>
    <xf numFmtId="0" fontId="0" fillId="0" borderId="29" xfId="0" applyFont="1" applyBorder="1" applyAlignment="1">
      <alignment horizontal="right" vertical="top"/>
    </xf>
    <xf numFmtId="164" fontId="2" fillId="0" borderId="0" xfId="0" applyNumberFormat="1" applyFont="1" applyFill="1" applyBorder="1" applyAlignment="1">
      <alignment horizontal="right" vertical="top" wrapText="1"/>
    </xf>
    <xf numFmtId="164" fontId="2" fillId="0" borderId="29" xfId="0" applyNumberFormat="1" applyFont="1" applyFill="1" applyBorder="1" applyAlignment="1">
      <alignment horizontal="right" vertical="top" wrapText="1"/>
    </xf>
    <xf numFmtId="164" fontId="13" fillId="0" borderId="0" xfId="11" applyNumberFormat="1" applyBorder="1" applyAlignment="1">
      <alignment horizontal="right" wrapText="1"/>
    </xf>
    <xf numFmtId="176" fontId="2" fillId="0" borderId="0" xfId="0" applyNumberFormat="1" applyFont="1" applyFill="1" applyBorder="1" applyAlignment="1">
      <alignment horizontal="right" vertical="top"/>
    </xf>
    <xf numFmtId="164" fontId="13" fillId="0" borderId="0" xfId="11" applyNumberFormat="1" applyBorder="1" applyAlignment="1">
      <alignment horizontal="right"/>
    </xf>
    <xf numFmtId="0" fontId="0" fillId="0" borderId="0" xfId="0" applyAlignment="1">
      <alignment horizontal="right" vertical="top"/>
    </xf>
    <xf numFmtId="164" fontId="2" fillId="0" borderId="0" xfId="0" applyNumberFormat="1" applyFont="1" applyFill="1" applyAlignment="1">
      <alignment horizontal="right" vertical="top"/>
    </xf>
    <xf numFmtId="2" fontId="38" fillId="0" borderId="38" xfId="0" applyNumberFormat="1" applyFont="1" applyFill="1" applyBorder="1" applyAlignment="1" applyProtection="1">
      <alignment vertical="top" wrapText="1"/>
    </xf>
    <xf numFmtId="175" fontId="38" fillId="2" borderId="18" xfId="0" applyNumberFormat="1" applyFont="1" applyFill="1" applyBorder="1" applyAlignment="1" applyProtection="1">
      <alignment vertical="top" wrapText="1"/>
    </xf>
    <xf numFmtId="0" fontId="38" fillId="2" borderId="10" xfId="0" applyFont="1" applyFill="1" applyBorder="1" applyAlignment="1" applyProtection="1">
      <alignment vertical="top" wrapText="1"/>
    </xf>
    <xf numFmtId="0" fontId="41" fillId="18" borderId="0" xfId="0" applyFont="1" applyFill="1" applyAlignment="1" applyProtection="1">
      <alignment vertical="top"/>
    </xf>
    <xf numFmtId="0" fontId="38" fillId="2" borderId="2" xfId="0" applyFont="1" applyFill="1" applyBorder="1" applyAlignment="1" applyProtection="1">
      <alignment vertical="top" wrapText="1"/>
    </xf>
    <xf numFmtId="0" fontId="42" fillId="8" borderId="35" xfId="6" applyFont="1" applyBorder="1" applyAlignment="1">
      <alignment vertical="center"/>
    </xf>
    <xf numFmtId="1" fontId="42" fillId="8" borderId="35" xfId="6" applyNumberFormat="1" applyFont="1" applyBorder="1" applyAlignment="1">
      <alignment vertical="center"/>
    </xf>
    <xf numFmtId="2" fontId="38" fillId="14" borderId="3" xfId="0" applyNumberFormat="1" applyFont="1" applyFill="1" applyBorder="1" applyAlignment="1" applyProtection="1">
      <alignment vertical="top" wrapText="1"/>
    </xf>
    <xf numFmtId="2" fontId="38" fillId="14" borderId="17" xfId="0" applyNumberFormat="1" applyFont="1" applyFill="1" applyBorder="1" applyAlignment="1" applyProtection="1">
      <alignment vertical="top" wrapText="1"/>
    </xf>
    <xf numFmtId="44" fontId="38" fillId="14" borderId="38" xfId="2" applyFont="1" applyFill="1" applyBorder="1" applyAlignment="1" applyProtection="1">
      <alignment vertical="top" wrapText="1"/>
    </xf>
    <xf numFmtId="0" fontId="38" fillId="14" borderId="38" xfId="0" applyFont="1" applyFill="1" applyBorder="1" applyAlignment="1" applyProtection="1">
      <alignment vertical="top" wrapText="1"/>
    </xf>
    <xf numFmtId="0" fontId="38" fillId="14" borderId="17" xfId="0" applyFont="1" applyFill="1" applyBorder="1" applyAlignment="1" applyProtection="1">
      <alignment vertical="top" wrapText="1"/>
    </xf>
    <xf numFmtId="0" fontId="38" fillId="14" borderId="4" xfId="0" applyFont="1" applyFill="1" applyBorder="1" applyAlignment="1" applyProtection="1">
      <alignment vertical="top" wrapText="1"/>
    </xf>
    <xf numFmtId="0" fontId="40" fillId="2" borderId="9" xfId="0" applyFont="1" applyFill="1" applyBorder="1" applyAlignment="1" applyProtection="1">
      <alignment horizontal="center" vertical="center"/>
    </xf>
    <xf numFmtId="0" fontId="40" fillId="2" borderId="8" xfId="0" applyFont="1" applyFill="1" applyBorder="1" applyAlignment="1" applyProtection="1">
      <alignment horizontal="center" vertical="top"/>
    </xf>
    <xf numFmtId="0" fontId="38" fillId="2" borderId="17" xfId="0" applyFont="1" applyFill="1" applyBorder="1" applyAlignment="1" applyProtection="1">
      <alignment vertical="top" wrapText="1"/>
    </xf>
    <xf numFmtId="1" fontId="38" fillId="2" borderId="38" xfId="0" applyNumberFormat="1" applyFont="1" applyFill="1" applyBorder="1" applyAlignment="1" applyProtection="1">
      <alignment vertical="top" wrapText="1"/>
    </xf>
    <xf numFmtId="0" fontId="0" fillId="2" borderId="26" xfId="0" applyFont="1" applyFill="1" applyBorder="1" applyAlignment="1" applyProtection="1">
      <alignment horizontal="center" vertical="top" wrapText="1"/>
    </xf>
    <xf numFmtId="1" fontId="0" fillId="2" borderId="36" xfId="0" applyNumberFormat="1" applyFont="1" applyFill="1" applyBorder="1" applyAlignment="1" applyProtection="1">
      <alignment horizontal="center" vertical="top" wrapText="1"/>
    </xf>
    <xf numFmtId="0" fontId="40" fillId="5" borderId="13" xfId="5" applyFont="1" applyBorder="1" applyAlignment="1" applyProtection="1">
      <alignment vertical="center" wrapText="1"/>
      <protection locked="0"/>
    </xf>
    <xf numFmtId="164" fontId="0" fillId="0" borderId="0" xfId="0" quotePrefix="1" applyNumberFormat="1" applyFont="1" applyFill="1" applyBorder="1" applyAlignment="1">
      <alignment horizontal="left" vertical="top" wrapText="1"/>
    </xf>
    <xf numFmtId="0" fontId="0" fillId="22" borderId="0" xfId="0" applyFill="1" applyBorder="1" applyAlignment="1" applyProtection="1">
      <alignment vertical="center"/>
    </xf>
    <xf numFmtId="0" fontId="0" fillId="22" borderId="0" xfId="0" applyFill="1" applyAlignment="1" applyProtection="1">
      <alignment vertical="center"/>
    </xf>
    <xf numFmtId="0" fontId="0" fillId="14" borderId="0" xfId="0" applyFill="1" applyAlignment="1" applyProtection="1">
      <alignment vertical="top"/>
    </xf>
    <xf numFmtId="0" fontId="45" fillId="14" borderId="0" xfId="0" applyFont="1" applyFill="1" applyAlignment="1" applyProtection="1">
      <alignment wrapText="1"/>
    </xf>
    <xf numFmtId="0" fontId="6" fillId="14" borderId="0" xfId="0" applyFont="1" applyFill="1" applyAlignment="1" applyProtection="1">
      <alignment vertical="top"/>
    </xf>
    <xf numFmtId="2" fontId="0" fillId="14" borderId="0" xfId="0" applyNumberFormat="1" applyFill="1" applyAlignment="1" applyProtection="1">
      <alignment vertical="top"/>
    </xf>
    <xf numFmtId="0" fontId="0" fillId="14" borderId="0" xfId="0" applyFill="1" applyProtection="1"/>
    <xf numFmtId="2" fontId="0" fillId="14" borderId="0" xfId="0" applyNumberFormat="1" applyFill="1" applyAlignment="1" applyProtection="1">
      <alignment vertical="top" wrapText="1"/>
    </xf>
    <xf numFmtId="44" fontId="0" fillId="14" borderId="0" xfId="2" applyFont="1" applyFill="1" applyAlignment="1" applyProtection="1">
      <alignment vertical="top"/>
    </xf>
    <xf numFmtId="0" fontId="3" fillId="14" borderId="0" xfId="0" applyFont="1" applyFill="1" applyAlignment="1" applyProtection="1">
      <alignment vertical="top"/>
    </xf>
    <xf numFmtId="0" fontId="19" fillId="14" borderId="0" xfId="7" applyFill="1" applyAlignment="1" applyProtection="1">
      <alignment vertical="top"/>
    </xf>
    <xf numFmtId="0" fontId="0" fillId="14" borderId="0" xfId="0" applyFill="1" applyAlignment="1" applyProtection="1">
      <alignment vertical="top" wrapText="1"/>
    </xf>
    <xf numFmtId="0" fontId="6" fillId="14" borderId="0" xfId="0" applyFont="1" applyFill="1" applyBorder="1" applyAlignment="1" applyProtection="1">
      <alignment horizontal="center" vertical="top"/>
    </xf>
    <xf numFmtId="2" fontId="35" fillId="14" borderId="0" xfId="7" applyNumberFormat="1" applyFont="1" applyFill="1" applyAlignment="1" applyProtection="1">
      <alignment vertical="top"/>
    </xf>
    <xf numFmtId="0" fontId="17" fillId="14" borderId="0" xfId="0" applyFont="1" applyFill="1" applyAlignment="1" applyProtection="1">
      <alignment vertical="top"/>
    </xf>
    <xf numFmtId="0" fontId="17" fillId="14" borderId="0" xfId="0" applyFont="1" applyFill="1" applyProtection="1"/>
    <xf numFmtId="0" fontId="0" fillId="14" borderId="0" xfId="0" applyFont="1" applyFill="1" applyAlignment="1" applyProtection="1">
      <alignment horizontal="center"/>
    </xf>
    <xf numFmtId="0" fontId="0" fillId="14" borderId="0" xfId="0" applyFont="1" applyFill="1" applyProtection="1"/>
    <xf numFmtId="1" fontId="2" fillId="14" borderId="39" xfId="2" applyNumberFormat="1" applyFont="1" applyFill="1" applyBorder="1" applyAlignment="1" applyProtection="1">
      <alignment horizontal="center" vertical="center" wrapText="1"/>
    </xf>
    <xf numFmtId="1" fontId="2" fillId="14" borderId="40" xfId="2" applyNumberFormat="1" applyFont="1" applyFill="1" applyBorder="1" applyAlignment="1" applyProtection="1">
      <alignment horizontal="center" vertical="center" wrapText="1"/>
    </xf>
    <xf numFmtId="1" fontId="2" fillId="14" borderId="44" xfId="2" applyNumberFormat="1" applyFont="1" applyFill="1" applyBorder="1" applyAlignment="1" applyProtection="1">
      <alignment horizontal="center" vertical="center" wrapText="1"/>
    </xf>
    <xf numFmtId="0" fontId="0" fillId="14" borderId="0" xfId="0" applyFill="1" applyBorder="1" applyAlignment="1" applyProtection="1">
      <alignment vertical="top"/>
    </xf>
    <xf numFmtId="0" fontId="4" fillId="14" borderId="52" xfId="0" applyFont="1" applyFill="1" applyBorder="1" applyAlignment="1" applyProtection="1">
      <alignment horizontal="center" vertical="top"/>
    </xf>
    <xf numFmtId="0" fontId="4" fillId="14" borderId="53" xfId="0" applyFont="1" applyFill="1" applyBorder="1" applyAlignment="1" applyProtection="1">
      <alignment horizontal="center" vertical="top"/>
    </xf>
    <xf numFmtId="0" fontId="4" fillId="14" borderId="54" xfId="0" applyFont="1" applyFill="1" applyBorder="1" applyAlignment="1" applyProtection="1">
      <alignment horizontal="center" vertical="top"/>
    </xf>
    <xf numFmtId="0" fontId="4" fillId="14" borderId="55" xfId="0" applyFont="1" applyFill="1" applyBorder="1" applyAlignment="1" applyProtection="1">
      <alignment horizontal="center" vertical="top"/>
    </xf>
    <xf numFmtId="0" fontId="6" fillId="14" borderId="2" xfId="0" applyFont="1" applyFill="1" applyBorder="1" applyAlignment="1" applyProtection="1">
      <alignment vertical="top" wrapText="1"/>
    </xf>
    <xf numFmtId="0" fontId="6" fillId="14" borderId="56" xfId="0" applyFont="1" applyFill="1" applyBorder="1" applyAlignment="1" applyProtection="1">
      <alignment vertical="top" wrapText="1"/>
    </xf>
    <xf numFmtId="0" fontId="0" fillId="14" borderId="57" xfId="0" applyFont="1" applyFill="1" applyBorder="1" applyAlignment="1" applyProtection="1">
      <alignment vertical="top" wrapText="1"/>
    </xf>
    <xf numFmtId="0" fontId="0" fillId="14" borderId="6" xfId="0" applyFont="1" applyFill="1" applyBorder="1" applyAlignment="1" applyProtection="1">
      <alignment vertical="top" wrapText="1"/>
    </xf>
    <xf numFmtId="0" fontId="0" fillId="14" borderId="1" xfId="0" applyFont="1" applyFill="1" applyBorder="1" applyAlignment="1" applyProtection="1">
      <alignment vertical="top" wrapText="1"/>
    </xf>
    <xf numFmtId="0" fontId="0" fillId="14" borderId="58" xfId="0" applyFont="1" applyFill="1" applyBorder="1" applyAlignment="1" applyProtection="1">
      <alignment vertical="top" wrapText="1"/>
    </xf>
    <xf numFmtId="167" fontId="28" fillId="14" borderId="59" xfId="5" applyNumberFormat="1" applyFont="1" applyFill="1" applyBorder="1" applyAlignment="1" applyProtection="1">
      <alignment horizontal="center" vertical="center"/>
    </xf>
    <xf numFmtId="0" fontId="28" fillId="14" borderId="60" xfId="5" applyFont="1" applyFill="1" applyBorder="1" applyAlignment="1" applyProtection="1">
      <alignment horizontal="center" vertical="center"/>
    </xf>
    <xf numFmtId="165" fontId="29" fillId="14" borderId="60" xfId="5" applyNumberFormat="1" applyFont="1" applyFill="1" applyBorder="1" applyAlignment="1" applyProtection="1">
      <alignment horizontal="center" vertical="center"/>
    </xf>
    <xf numFmtId="0" fontId="29" fillId="14" borderId="61" xfId="5" applyFont="1" applyFill="1" applyBorder="1" applyAlignment="1" applyProtection="1">
      <alignment horizontal="center" vertical="center"/>
    </xf>
    <xf numFmtId="2" fontId="36" fillId="14" borderId="0" xfId="0" applyNumberFormat="1" applyFont="1" applyFill="1" applyAlignment="1" applyProtection="1">
      <alignment vertical="top"/>
    </xf>
    <xf numFmtId="2" fontId="3" fillId="14" borderId="0" xfId="0" applyNumberFormat="1" applyFont="1" applyFill="1" applyAlignment="1" applyProtection="1">
      <alignment vertical="top"/>
    </xf>
    <xf numFmtId="0" fontId="0" fillId="14" borderId="2" xfId="0" applyFill="1" applyBorder="1" applyAlignment="1" applyProtection="1">
      <alignment vertical="top"/>
    </xf>
    <xf numFmtId="2" fontId="0" fillId="14" borderId="0" xfId="3" applyNumberFormat="1" applyFont="1" applyFill="1" applyAlignment="1" applyProtection="1">
      <alignment vertical="top"/>
    </xf>
    <xf numFmtId="0" fontId="0" fillId="14" borderId="0" xfId="0" applyFont="1" applyFill="1" applyAlignment="1" applyProtection="1">
      <alignment vertical="top" wrapText="1"/>
    </xf>
    <xf numFmtId="0" fontId="0" fillId="14" borderId="0" xfId="0" applyFont="1" applyFill="1" applyAlignment="1" applyProtection="1">
      <alignment vertical="center"/>
    </xf>
    <xf numFmtId="0" fontId="0" fillId="14" borderId="0" xfId="0" applyFill="1" applyBorder="1" applyAlignment="1" applyProtection="1">
      <alignment vertical="center"/>
    </xf>
    <xf numFmtId="0" fontId="0" fillId="14" borderId="0" xfId="0" applyFill="1" applyAlignment="1" applyProtection="1">
      <alignment vertical="center"/>
    </xf>
    <xf numFmtId="1" fontId="11" fillId="14" borderId="0" xfId="0" applyNumberFormat="1" applyFont="1" applyFill="1" applyBorder="1" applyAlignment="1" applyProtection="1">
      <alignment vertical="center"/>
    </xf>
    <xf numFmtId="1" fontId="11" fillId="14" borderId="10" xfId="0" applyNumberFormat="1" applyFont="1" applyFill="1" applyBorder="1" applyAlignment="1" applyProtection="1">
      <alignment vertical="center"/>
    </xf>
    <xf numFmtId="164" fontId="0" fillId="0" borderId="28" xfId="0" applyNumberFormat="1" applyFill="1" applyBorder="1" applyAlignment="1">
      <alignment horizontal="left" vertical="top"/>
    </xf>
    <xf numFmtId="0" fontId="0" fillId="0" borderId="28" xfId="0" applyFill="1" applyBorder="1" applyAlignment="1">
      <alignment vertical="top"/>
    </xf>
    <xf numFmtId="0" fontId="0" fillId="0" borderId="0" xfId="0" applyAlignment="1">
      <alignment horizontal="left" vertical="top" wrapText="1"/>
    </xf>
    <xf numFmtId="0" fontId="43" fillId="8" borderId="12" xfId="6" applyFont="1" applyBorder="1" applyAlignment="1">
      <alignment vertical="center"/>
    </xf>
    <xf numFmtId="0" fontId="43" fillId="8" borderId="46" xfId="6" applyFont="1" applyBorder="1" applyAlignment="1">
      <alignment vertical="center"/>
    </xf>
    <xf numFmtId="0" fontId="43" fillId="8" borderId="11" xfId="6" applyFont="1" applyBorder="1" applyAlignment="1">
      <alignment vertical="center"/>
    </xf>
    <xf numFmtId="0" fontId="46" fillId="0" borderId="0" xfId="0" applyFont="1"/>
    <xf numFmtId="0" fontId="47" fillId="0" borderId="0" xfId="0" applyFont="1"/>
    <xf numFmtId="0" fontId="48" fillId="0" borderId="0" xfId="0" applyFont="1"/>
    <xf numFmtId="0" fontId="48" fillId="0" borderId="65" xfId="0" applyFont="1" applyBorder="1"/>
    <xf numFmtId="0" fontId="49" fillId="0" borderId="66" xfId="0" applyFont="1" applyBorder="1"/>
    <xf numFmtId="0" fontId="49" fillId="0" borderId="67" xfId="0" applyFont="1" applyBorder="1"/>
    <xf numFmtId="0" fontId="49" fillId="0" borderId="0" xfId="0" applyFont="1"/>
    <xf numFmtId="0" fontId="0" fillId="0" borderId="67" xfId="0" applyBorder="1" applyAlignment="1">
      <alignment vertical="top" wrapText="1"/>
    </xf>
    <xf numFmtId="0" fontId="0" fillId="0" borderId="68" xfId="0" applyBorder="1" applyAlignment="1">
      <alignment vertical="top" wrapText="1"/>
    </xf>
    <xf numFmtId="0" fontId="49" fillId="0" borderId="69" xfId="0" applyFont="1" applyBorder="1"/>
    <xf numFmtId="0" fontId="0" fillId="0" borderId="70" xfId="0" applyBorder="1" applyAlignment="1">
      <alignment vertical="top" wrapText="1"/>
    </xf>
    <xf numFmtId="0" fontId="49" fillId="0" borderId="71" xfId="0" applyFont="1" applyBorder="1"/>
    <xf numFmtId="0" fontId="0" fillId="0" borderId="72" xfId="0" applyBorder="1" applyAlignment="1">
      <alignment vertical="top" wrapText="1"/>
    </xf>
    <xf numFmtId="0" fontId="49" fillId="0" borderId="73" xfId="0" applyFont="1" applyBorder="1"/>
    <xf numFmtId="0" fontId="0" fillId="0" borderId="74" xfId="0" applyBorder="1" applyAlignment="1">
      <alignment vertical="top" wrapText="1"/>
    </xf>
    <xf numFmtId="0" fontId="49" fillId="0" borderId="75" xfId="0" applyFont="1" applyBorder="1"/>
    <xf numFmtId="0" fontId="0" fillId="0" borderId="76" xfId="0" applyBorder="1" applyAlignment="1">
      <alignment vertical="top" wrapText="1"/>
    </xf>
    <xf numFmtId="0" fontId="49" fillId="0" borderId="0" xfId="0" applyFont="1" applyAlignment="1">
      <alignment vertical="top"/>
    </xf>
    <xf numFmtId="0" fontId="49" fillId="0" borderId="77" xfId="0" applyFont="1" applyBorder="1"/>
    <xf numFmtId="0" fontId="51" fillId="14" borderId="0" xfId="0" applyFont="1" applyFill="1" applyAlignment="1" applyProtection="1">
      <alignment vertical="top"/>
    </xf>
    <xf numFmtId="0" fontId="32" fillId="18" borderId="30" xfId="6" applyFont="1" applyFill="1" applyAlignment="1">
      <alignment horizontal="center"/>
    </xf>
    <xf numFmtId="164" fontId="8" fillId="0" borderId="0" xfId="0" applyNumberFormat="1" applyFont="1" applyAlignment="1">
      <alignment horizontal="left"/>
    </xf>
    <xf numFmtId="44" fontId="8" fillId="0" borderId="0" xfId="2" applyNumberFormat="1" applyFont="1" applyFill="1" applyAlignment="1"/>
    <xf numFmtId="164" fontId="2" fillId="0" borderId="0" xfId="0" applyNumberFormat="1" applyFont="1" applyFill="1" applyBorder="1" applyAlignment="1">
      <alignment horizontal="left" vertical="top"/>
    </xf>
    <xf numFmtId="164" fontId="8" fillId="0" borderId="0" xfId="0" applyNumberFormat="1" applyFont="1" applyFill="1" applyAlignment="1">
      <alignment horizontal="left"/>
    </xf>
    <xf numFmtId="171" fontId="8" fillId="0" borderId="0" xfId="2" applyNumberFormat="1" applyFont="1" applyFill="1" applyAlignment="1">
      <alignment horizontal="left"/>
    </xf>
    <xf numFmtId="171" fontId="8" fillId="0" borderId="0" xfId="0" applyNumberFormat="1" applyFont="1" applyAlignment="1">
      <alignment horizontal="left"/>
    </xf>
    <xf numFmtId="180" fontId="0" fillId="0" borderId="0" xfId="2" applyNumberFormat="1" applyFont="1" applyBorder="1" applyAlignment="1">
      <alignment horizontal="right" vertical="top"/>
    </xf>
    <xf numFmtId="170" fontId="8" fillId="0" borderId="0" xfId="2" applyNumberFormat="1" applyFont="1" applyFill="1" applyAlignment="1"/>
    <xf numFmtId="172" fontId="8" fillId="0" borderId="0" xfId="2" applyNumberFormat="1" applyFont="1" applyFill="1" applyAlignment="1"/>
    <xf numFmtId="176" fontId="8" fillId="0" borderId="0" xfId="2" applyNumberFormat="1" applyFont="1" applyFill="1" applyAlignment="1">
      <alignment horizontal="left"/>
    </xf>
    <xf numFmtId="181" fontId="8" fillId="0" borderId="0" xfId="2" applyNumberFormat="1" applyFont="1" applyFill="1" applyAlignment="1">
      <alignment horizontal="left"/>
    </xf>
    <xf numFmtId="182" fontId="8" fillId="0" borderId="0" xfId="0" applyNumberFormat="1" applyFont="1" applyAlignment="1">
      <alignment horizontal="left"/>
    </xf>
    <xf numFmtId="16" fontId="8" fillId="6" borderId="0" xfId="0" applyNumberFormat="1" applyFont="1" applyFill="1" applyAlignment="1">
      <alignment horizontal="left"/>
    </xf>
    <xf numFmtId="2" fontId="8" fillId="0" borderId="0" xfId="12" applyNumberFormat="1" applyFont="1" applyBorder="1" applyAlignment="1">
      <alignment horizontal="left"/>
    </xf>
    <xf numFmtId="44" fontId="20" fillId="0" borderId="0" xfId="2" applyFont="1" applyFill="1" applyAlignment="1">
      <alignment horizontal="center"/>
    </xf>
    <xf numFmtId="44" fontId="20" fillId="0" borderId="0" xfId="2" applyFont="1" applyFill="1" applyAlignment="1">
      <alignment horizontal="center"/>
    </xf>
    <xf numFmtId="170" fontId="20" fillId="0" borderId="0" xfId="2" applyNumberFormat="1" applyFont="1" applyFill="1" applyAlignment="1"/>
    <xf numFmtId="171" fontId="2" fillId="0" borderId="0" xfId="0" applyNumberFormat="1" applyFont="1" applyFill="1" applyBorder="1" applyAlignment="1">
      <alignment horizontal="right" vertical="top"/>
    </xf>
    <xf numFmtId="164" fontId="0" fillId="0" borderId="29" xfId="2" applyNumberFormat="1" applyFont="1" applyBorder="1" applyAlignment="1">
      <alignment horizontal="right" vertical="top"/>
    </xf>
    <xf numFmtId="164" fontId="0" fillId="0" borderId="29" xfId="2" applyNumberFormat="1" applyFont="1" applyBorder="1" applyAlignment="1">
      <alignment horizontal="left" vertical="top"/>
    </xf>
    <xf numFmtId="179" fontId="0" fillId="0" borderId="29" xfId="2" applyNumberFormat="1" applyFont="1" applyBorder="1" applyAlignment="1">
      <alignment horizontal="left" vertical="top"/>
    </xf>
    <xf numFmtId="164" fontId="2" fillId="14" borderId="39" xfId="2" applyNumberFormat="1" applyFont="1" applyFill="1" applyBorder="1" applyAlignment="1" applyProtection="1">
      <alignment horizontal="center" vertical="center" wrapText="1"/>
    </xf>
    <xf numFmtId="164" fontId="2" fillId="14" borderId="40" xfId="2" applyNumberFormat="1" applyFont="1" applyFill="1" applyBorder="1" applyAlignment="1" applyProtection="1">
      <alignment horizontal="center" vertical="center" wrapText="1"/>
    </xf>
    <xf numFmtId="0" fontId="3" fillId="0" borderId="28" xfId="0" applyFont="1" applyFill="1" applyBorder="1" applyAlignment="1">
      <alignment vertical="top"/>
    </xf>
    <xf numFmtId="1" fontId="0" fillId="0" borderId="0" xfId="0" applyNumberFormat="1" applyFont="1" applyBorder="1" applyAlignment="1">
      <alignment horizontal="center" vertical="top"/>
    </xf>
    <xf numFmtId="44" fontId="8" fillId="0" borderId="0" xfId="2" applyFont="1" applyFill="1" applyBorder="1" applyAlignment="1">
      <alignment horizontal="left"/>
    </xf>
    <xf numFmtId="171" fontId="0" fillId="0" borderId="29" xfId="3" applyNumberFormat="1" applyFont="1" applyBorder="1" applyAlignment="1">
      <alignment horizontal="center" vertical="center"/>
    </xf>
    <xf numFmtId="171" fontId="0" fillId="0" borderId="0" xfId="3" applyNumberFormat="1" applyFont="1" applyBorder="1" applyAlignment="1">
      <alignment horizontal="center" vertical="center"/>
    </xf>
    <xf numFmtId="180" fontId="0" fillId="0" borderId="29" xfId="2" applyNumberFormat="1" applyFont="1" applyBorder="1" applyAlignment="1">
      <alignment horizontal="right" vertical="top"/>
    </xf>
    <xf numFmtId="183" fontId="0" fillId="0" borderId="0" xfId="3" applyNumberFormat="1" applyFont="1" applyFill="1" applyBorder="1" applyAlignment="1">
      <alignment vertical="top"/>
    </xf>
    <xf numFmtId="167" fontId="9" fillId="0" borderId="31" xfId="0" applyNumberFormat="1" applyFont="1" applyBorder="1" applyAlignment="1">
      <alignment vertical="top"/>
    </xf>
    <xf numFmtId="0" fontId="3" fillId="0" borderId="31" xfId="0" applyFont="1" applyBorder="1" applyAlignment="1">
      <alignment vertical="top"/>
    </xf>
    <xf numFmtId="167" fontId="14" fillId="0" borderId="31" xfId="1" applyNumberFormat="1" applyFont="1" applyBorder="1" applyAlignment="1">
      <alignment vertical="top"/>
    </xf>
    <xf numFmtId="165" fontId="9" fillId="0" borderId="31" xfId="1" applyNumberFormat="1" applyFont="1" applyBorder="1" applyAlignment="1">
      <alignment vertical="top"/>
    </xf>
    <xf numFmtId="0" fontId="0" fillId="0" borderId="31" xfId="0" applyFont="1" applyBorder="1" applyAlignment="1">
      <alignment vertical="top"/>
    </xf>
    <xf numFmtId="165" fontId="14" fillId="0" borderId="31" xfId="0" applyNumberFormat="1" applyFont="1" applyBorder="1" applyAlignment="1">
      <alignment vertical="top"/>
    </xf>
    <xf numFmtId="0" fontId="0" fillId="0" borderId="31" xfId="0" applyBorder="1" applyAlignment="1">
      <alignment vertical="top"/>
    </xf>
    <xf numFmtId="0" fontId="0" fillId="0" borderId="31" xfId="0" applyFont="1" applyBorder="1" applyAlignment="1">
      <alignment horizontal="center" vertical="top"/>
    </xf>
    <xf numFmtId="2" fontId="0" fillId="0" borderId="31" xfId="0" applyNumberFormat="1" applyBorder="1" applyAlignment="1">
      <alignment horizontal="center" vertical="center"/>
    </xf>
    <xf numFmtId="2" fontId="0" fillId="0" borderId="34" xfId="0" applyNumberFormat="1" applyBorder="1" applyAlignment="1">
      <alignment horizontal="center" vertical="top"/>
    </xf>
    <xf numFmtId="179" fontId="0" fillId="0" borderId="31" xfId="2" applyNumberFormat="1" applyFont="1" applyBorder="1" applyAlignment="1">
      <alignment horizontal="right" vertical="top"/>
    </xf>
    <xf numFmtId="1" fontId="0" fillId="0" borderId="31" xfId="0" applyNumberFormat="1" applyFill="1" applyBorder="1" applyAlignment="1">
      <alignment horizontal="center" vertical="top"/>
    </xf>
    <xf numFmtId="164" fontId="2" fillId="0" borderId="31" xfId="0" applyNumberFormat="1" applyFont="1" applyFill="1" applyBorder="1" applyAlignment="1">
      <alignment horizontal="right" vertical="top"/>
    </xf>
    <xf numFmtId="164" fontId="2" fillId="0" borderId="31" xfId="0" applyNumberFormat="1" applyFont="1" applyFill="1" applyBorder="1" applyAlignment="1">
      <alignment horizontal="center" vertical="top"/>
    </xf>
    <xf numFmtId="164" fontId="0" fillId="0" borderId="31" xfId="0" applyNumberFormat="1" applyFill="1" applyBorder="1" applyAlignment="1">
      <alignment horizontal="left" vertical="top"/>
    </xf>
    <xf numFmtId="164" fontId="0" fillId="0" borderId="31" xfId="0" applyNumberFormat="1" applyFill="1" applyBorder="1" applyAlignment="1">
      <alignment horizontal="left" vertical="top" wrapText="1"/>
    </xf>
    <xf numFmtId="0" fontId="0" fillId="0" borderId="31" xfId="0" applyFill="1" applyBorder="1" applyAlignment="1">
      <alignment vertical="top"/>
    </xf>
    <xf numFmtId="0" fontId="0" fillId="14" borderId="31" xfId="0" applyFont="1" applyFill="1" applyBorder="1" applyAlignment="1">
      <alignment vertical="top"/>
    </xf>
    <xf numFmtId="168" fontId="9" fillId="0" borderId="31" xfId="0" applyNumberFormat="1" applyFont="1" applyBorder="1" applyAlignment="1">
      <alignment vertical="top"/>
    </xf>
    <xf numFmtId="1" fontId="0" fillId="0" borderId="31" xfId="0" applyNumberFormat="1" applyFont="1" applyFill="1" applyBorder="1" applyAlignment="1">
      <alignment horizontal="center" vertical="top"/>
    </xf>
    <xf numFmtId="2" fontId="0" fillId="0" borderId="31" xfId="0" applyNumberFormat="1" applyFont="1" applyBorder="1" applyAlignment="1">
      <alignment horizontal="right" vertical="top"/>
    </xf>
    <xf numFmtId="0" fontId="0" fillId="0" borderId="31" xfId="0" applyFont="1" applyFill="1" applyBorder="1" applyAlignment="1">
      <alignment vertical="top"/>
    </xf>
    <xf numFmtId="0" fontId="0" fillId="0" borderId="0" xfId="0" applyAlignment="1">
      <alignment vertical="top" wrapText="1"/>
    </xf>
    <xf numFmtId="0" fontId="49" fillId="0" borderId="0" xfId="0" applyFont="1" applyAlignment="1">
      <alignment vertical="top" wrapText="1"/>
    </xf>
    <xf numFmtId="0" fontId="0" fillId="0" borderId="0" xfId="0" applyBorder="1" applyAlignment="1">
      <alignment horizontal="left"/>
    </xf>
    <xf numFmtId="0" fontId="0" fillId="0" borderId="0" xfId="0" applyBorder="1" applyAlignment="1">
      <alignment horizontal="left" vertical="top" wrapText="1"/>
    </xf>
    <xf numFmtId="0" fontId="43" fillId="8" borderId="12" xfId="6" applyFont="1" applyBorder="1" applyAlignment="1">
      <alignment horizontal="left" vertical="center"/>
    </xf>
    <xf numFmtId="0" fontId="43" fillId="8" borderId="46" xfId="6" applyFont="1" applyBorder="1" applyAlignment="1">
      <alignment horizontal="left" vertical="center"/>
    </xf>
    <xf numFmtId="0" fontId="43" fillId="8" borderId="11" xfId="6" applyFont="1" applyBorder="1" applyAlignment="1">
      <alignment horizontal="left" vertical="center"/>
    </xf>
    <xf numFmtId="0" fontId="0" fillId="0" borderId="2" xfId="0" applyBorder="1" applyAlignment="1">
      <alignment horizontal="left" vertical="top" wrapText="1"/>
    </xf>
    <xf numFmtId="0" fontId="0" fillId="0" borderId="0" xfId="0" applyAlignment="1">
      <alignment horizontal="left" vertical="top" wrapText="1"/>
    </xf>
    <xf numFmtId="0" fontId="43" fillId="8" borderId="0" xfId="6" applyFont="1" applyBorder="1" applyAlignment="1">
      <alignment horizontal="left" vertical="center"/>
    </xf>
    <xf numFmtId="0" fontId="10" fillId="2" borderId="42" xfId="0" applyFont="1" applyFill="1" applyBorder="1" applyAlignment="1" applyProtection="1">
      <alignment horizontal="left" vertical="center" wrapText="1"/>
    </xf>
    <xf numFmtId="0" fontId="10" fillId="2" borderId="43" xfId="0" applyFont="1" applyFill="1" applyBorder="1" applyAlignment="1" applyProtection="1">
      <alignment horizontal="left" vertical="center" wrapText="1"/>
    </xf>
    <xf numFmtId="169" fontId="0" fillId="2" borderId="33" xfId="0" applyNumberFormat="1" applyFont="1" applyFill="1" applyBorder="1" applyAlignment="1" applyProtection="1">
      <alignment horizontal="center" vertical="center" wrapText="1"/>
    </xf>
    <xf numFmtId="169" fontId="0" fillId="2" borderId="32" xfId="0" applyNumberFormat="1" applyFont="1" applyFill="1" applyBorder="1" applyAlignment="1" applyProtection="1">
      <alignment horizontal="center" vertical="center" wrapText="1"/>
    </xf>
    <xf numFmtId="0" fontId="13" fillId="7" borderId="33" xfId="4" applyFont="1" applyFill="1" applyBorder="1" applyAlignment="1" applyProtection="1">
      <alignment horizontal="center" vertical="center" wrapText="1"/>
    </xf>
    <xf numFmtId="0" fontId="13" fillId="7" borderId="32" xfId="4" applyFont="1" applyFill="1" applyBorder="1" applyAlignment="1" applyProtection="1">
      <alignment horizontal="center" vertical="center" wrapText="1"/>
    </xf>
    <xf numFmtId="0" fontId="0" fillId="14" borderId="0" xfId="0" applyFill="1" applyAlignment="1">
      <alignment horizontal="left" vertical="top" wrapText="1"/>
    </xf>
    <xf numFmtId="0" fontId="38" fillId="2" borderId="3" xfId="0" applyFont="1" applyFill="1" applyBorder="1" applyAlignment="1" applyProtection="1">
      <alignment horizontal="left" vertical="top" wrapText="1"/>
    </xf>
    <xf numFmtId="0" fontId="38" fillId="2" borderId="2" xfId="0" applyFont="1" applyFill="1" applyBorder="1" applyAlignment="1" applyProtection="1">
      <alignment horizontal="left" vertical="top" wrapText="1"/>
    </xf>
    <xf numFmtId="0" fontId="0" fillId="0" borderId="33" xfId="4" applyFont="1" applyFill="1" applyBorder="1" applyAlignment="1" applyProtection="1">
      <alignment horizontal="left" vertical="top" wrapText="1"/>
    </xf>
    <xf numFmtId="0" fontId="13" fillId="0" borderId="32" xfId="4" applyFont="1" applyFill="1" applyBorder="1" applyAlignment="1" applyProtection="1">
      <alignment horizontal="left" vertical="top" wrapText="1"/>
    </xf>
    <xf numFmtId="0" fontId="0" fillId="13" borderId="33" xfId="0" applyFill="1" applyBorder="1" applyAlignment="1" applyProtection="1">
      <alignment horizontal="center" vertical="center" wrapText="1"/>
    </xf>
    <xf numFmtId="0" fontId="0" fillId="13" borderId="32" xfId="0" applyFill="1" applyBorder="1" applyAlignment="1" applyProtection="1">
      <alignment horizontal="center" vertical="center" wrapText="1"/>
    </xf>
    <xf numFmtId="0" fontId="13" fillId="14" borderId="0" xfId="4" applyFont="1" applyFill="1" applyAlignment="1" applyProtection="1">
      <alignment horizontal="left" vertical="center" wrapText="1"/>
    </xf>
    <xf numFmtId="0" fontId="40" fillId="2" borderId="8" xfId="0" applyFont="1" applyFill="1" applyBorder="1" applyAlignment="1" applyProtection="1">
      <alignment horizontal="center" vertical="top"/>
    </xf>
    <xf numFmtId="0" fontId="40" fillId="2" borderId="6" xfId="0" applyFont="1" applyFill="1" applyBorder="1" applyAlignment="1" applyProtection="1">
      <alignment horizontal="center" vertical="top"/>
    </xf>
    <xf numFmtId="0" fontId="38" fillId="2" borderId="4" xfId="0" applyFont="1" applyFill="1" applyBorder="1" applyAlignment="1" applyProtection="1">
      <alignment horizontal="left" vertical="top" wrapText="1"/>
    </xf>
    <xf numFmtId="0" fontId="0" fillId="2" borderId="8" xfId="0" applyFont="1" applyFill="1" applyBorder="1" applyAlignment="1" applyProtection="1">
      <alignment horizontal="left" vertical="top" wrapText="1"/>
    </xf>
    <xf numFmtId="0" fontId="0" fillId="2" borderId="6" xfId="0" applyFont="1" applyFill="1" applyBorder="1" applyAlignment="1" applyProtection="1">
      <alignment horizontal="left" vertical="top" wrapText="1"/>
    </xf>
    <xf numFmtId="169" fontId="44" fillId="5" borderId="12" xfId="5" applyNumberFormat="1" applyFont="1" applyBorder="1" applyAlignment="1" applyProtection="1">
      <alignment horizontal="center" vertical="center"/>
      <protection locked="0"/>
    </xf>
    <xf numFmtId="169" fontId="44" fillId="5" borderId="11" xfId="5" applyNumberFormat="1" applyFont="1" applyBorder="1" applyAlignment="1" applyProtection="1">
      <alignment horizontal="center" vertical="center"/>
      <protection locked="0"/>
    </xf>
    <xf numFmtId="169" fontId="0" fillId="2" borderId="33" xfId="0" applyNumberFormat="1" applyFont="1" applyFill="1" applyBorder="1" applyAlignment="1" applyProtection="1">
      <alignment horizontal="left" vertical="top" wrapText="1"/>
    </xf>
    <xf numFmtId="169" fontId="0" fillId="2" borderId="32" xfId="0" applyNumberFormat="1" applyFont="1" applyFill="1" applyBorder="1" applyAlignment="1" applyProtection="1">
      <alignment horizontal="left" vertical="top" wrapText="1"/>
    </xf>
    <xf numFmtId="0" fontId="0" fillId="0" borderId="25" xfId="0" applyFill="1" applyBorder="1" applyAlignment="1" applyProtection="1">
      <alignment horizontal="left" vertical="top" wrapText="1"/>
    </xf>
    <xf numFmtId="0" fontId="0" fillId="0" borderId="32" xfId="0" applyFill="1" applyBorder="1" applyAlignment="1" applyProtection="1">
      <alignment horizontal="left" vertical="top" wrapText="1"/>
    </xf>
    <xf numFmtId="44" fontId="20" fillId="0" borderId="0" xfId="2" applyFont="1" applyFill="1" applyAlignment="1">
      <alignment horizontal="center"/>
    </xf>
    <xf numFmtId="0" fontId="18" fillId="8" borderId="0" xfId="6" applyFont="1" applyBorder="1" applyAlignment="1">
      <alignment horizontal="center"/>
    </xf>
    <xf numFmtId="0" fontId="18" fillId="8" borderId="30" xfId="6" applyFont="1" applyAlignment="1">
      <alignment horizontal="center"/>
    </xf>
    <xf numFmtId="44" fontId="20" fillId="0" borderId="0" xfId="2" applyFont="1" applyFill="1" applyAlignment="1">
      <alignment horizontal="left"/>
    </xf>
    <xf numFmtId="0" fontId="18" fillId="8" borderId="0" xfId="6" applyFont="1" applyBorder="1" applyAlignment="1">
      <alignment horizontal="left"/>
    </xf>
    <xf numFmtId="0" fontId="18" fillId="8" borderId="30" xfId="6" applyFont="1" applyAlignment="1">
      <alignment horizontal="left"/>
    </xf>
    <xf numFmtId="44" fontId="20" fillId="0" borderId="0" xfId="12" applyFont="1" applyFill="1" applyAlignment="1">
      <alignment horizontal="center"/>
    </xf>
    <xf numFmtId="170" fontId="18" fillId="8" borderId="0" xfId="2" applyNumberFormat="1" applyFont="1" applyFill="1" applyBorder="1" applyAlignment="1">
      <alignment horizontal="center" wrapText="1"/>
    </xf>
    <xf numFmtId="170" fontId="18" fillId="8" borderId="30" xfId="2" applyNumberFormat="1" applyFont="1" applyFill="1" applyBorder="1" applyAlignment="1">
      <alignment horizontal="center" wrapText="1"/>
    </xf>
    <xf numFmtId="0" fontId="18" fillId="8" borderId="0" xfId="6" applyFont="1" applyBorder="1" applyAlignment="1">
      <alignment horizontal="center" wrapText="1"/>
    </xf>
    <xf numFmtId="0" fontId="18" fillId="8" borderId="30" xfId="6" applyFont="1" applyAlignment="1">
      <alignment horizontal="center" wrapText="1"/>
    </xf>
    <xf numFmtId="174" fontId="18" fillId="8" borderId="0" xfId="6" applyNumberFormat="1" applyFont="1" applyBorder="1" applyAlignment="1">
      <alignment horizontal="left"/>
    </xf>
    <xf numFmtId="174" fontId="18" fillId="8" borderId="30" xfId="6" applyNumberFormat="1" applyFont="1" applyAlignment="1">
      <alignment horizontal="left"/>
    </xf>
    <xf numFmtId="170" fontId="18" fillId="8" borderId="0" xfId="12" applyNumberFormat="1" applyFont="1" applyFill="1" applyBorder="1" applyAlignment="1">
      <alignment horizontal="center" wrapText="1"/>
    </xf>
    <xf numFmtId="170" fontId="18" fillId="8" borderId="30" xfId="12" applyNumberFormat="1" applyFont="1" applyFill="1" applyBorder="1" applyAlignment="1">
      <alignment horizontal="center" wrapText="1"/>
    </xf>
    <xf numFmtId="0" fontId="3" fillId="14" borderId="0" xfId="0" applyFont="1" applyFill="1" applyBorder="1" applyAlignment="1">
      <alignment horizontal="right"/>
    </xf>
    <xf numFmtId="0" fontId="3" fillId="14" borderId="0" xfId="0" applyFont="1" applyFill="1" applyBorder="1" applyAlignment="1">
      <alignment horizontal="center"/>
    </xf>
    <xf numFmtId="0" fontId="8" fillId="0" borderId="0" xfId="0" applyFont="1" applyAlignment="1">
      <alignment horizontal="left" vertical="top" wrapText="1"/>
    </xf>
  </cellXfs>
  <cellStyles count="15">
    <cellStyle name="Accent4" xfId="10" builtinId="41"/>
    <cellStyle name="Comma 2" xfId="13" xr:uid="{00000000-0005-0000-0000-000001000000}"/>
    <cellStyle name="Currency 2" xfId="12" xr:uid="{00000000-0005-0000-0000-000002000000}"/>
    <cellStyle name="Goed" xfId="8" builtinId="26"/>
    <cellStyle name="Hyperlink" xfId="7" builtinId="8"/>
    <cellStyle name="Komma" xfId="1" builtinId="3"/>
    <cellStyle name="Neutraal" xfId="4" builtinId="28"/>
    <cellStyle name="Normal 2" xfId="11" xr:uid="{00000000-0005-0000-0000-000007000000}"/>
    <cellStyle name="Notitie" xfId="5" builtinId="10"/>
    <cellStyle name="Ongeldig" xfId="9" builtinId="27"/>
    <cellStyle name="Percent 2" xfId="14" xr:uid="{00000000-0005-0000-0000-00000A000000}"/>
    <cellStyle name="Procent" xfId="3" builtinId="5"/>
    <cellStyle name="Sheet title" xfId="6" xr:uid="{00000000-0005-0000-0000-00000C000000}"/>
    <cellStyle name="Standaard" xfId="0" builtinId="0"/>
    <cellStyle name="Valuta" xfId="2" builtinId="4"/>
  </cellStyles>
  <dxfs count="983">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ont>
        <color theme="0"/>
      </font>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ont>
        <color theme="0"/>
      </font>
    </dxf>
    <dxf>
      <font>
        <color theme="0"/>
      </font>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ont>
        <color theme="0"/>
      </font>
    </dxf>
    <dxf>
      <font>
        <color theme="0"/>
      </font>
    </dxf>
    <dxf>
      <font>
        <color theme="0"/>
      </font>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theme="0"/>
      </font>
    </dxf>
    <dxf>
      <font>
        <color theme="0"/>
      </font>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ont>
        <color auto="1"/>
      </font>
      <fill>
        <patternFill>
          <bgColor theme="9" tint="0.39994506668294322"/>
        </patternFill>
      </fill>
    </dxf>
    <dxf>
      <font>
        <color theme="0" tint="-0.14996795556505021"/>
      </font>
    </dxf>
    <dxf>
      <font>
        <color theme="0" tint="-0.14996795556505021"/>
      </font>
    </dxf>
    <dxf>
      <font>
        <color theme="0" tint="-0.14996795556505021"/>
      </font>
    </dxf>
    <dxf>
      <font>
        <b/>
        <i val="0"/>
        <color theme="7" tint="-0.499984740745262"/>
      </font>
      <fill>
        <patternFill>
          <bgColor theme="7" tint="0.59996337778862885"/>
        </patternFill>
      </fill>
    </dxf>
    <dxf>
      <font>
        <color theme="0"/>
      </font>
    </dxf>
    <dxf>
      <fill>
        <patternFill>
          <bgColor theme="7" tint="0.79998168889431442"/>
        </patternFill>
      </fill>
    </dxf>
    <dxf>
      <fill>
        <patternFill>
          <bgColor theme="9"/>
        </patternFill>
      </fill>
    </dxf>
    <dxf>
      <fill>
        <patternFill>
          <bgColor theme="7" tint="0.59996337778862885"/>
        </patternFill>
      </fill>
    </dxf>
    <dxf>
      <fill>
        <patternFill>
          <bgColor theme="7"/>
        </patternFill>
      </fill>
    </dxf>
    <dxf>
      <fill>
        <patternFill>
          <bgColor rgb="FFFF4747"/>
        </patternFill>
      </fill>
    </dxf>
    <dxf>
      <fill>
        <patternFill>
          <bgColor theme="7" tint="0.59996337778862885"/>
        </patternFill>
      </fill>
    </dxf>
    <dxf>
      <font>
        <color theme="0"/>
      </font>
      <fill>
        <patternFill patternType="none">
          <bgColor auto="1"/>
        </patternFill>
      </fill>
    </dxf>
    <dxf>
      <fill>
        <patternFill>
          <bgColor theme="9" tint="0.59996337778862885"/>
        </patternFill>
      </fill>
    </dxf>
    <dxf>
      <fill>
        <patternFill>
          <bgColor rgb="FFFA8989"/>
        </patternFill>
      </fill>
    </dxf>
    <dxf>
      <font>
        <b/>
        <i val="0"/>
      </font>
    </dxf>
    <dxf>
      <fill>
        <patternFill>
          <bgColor rgb="FFFFFF00"/>
        </patternFill>
      </fill>
    </dxf>
    <dxf>
      <fill>
        <patternFill>
          <bgColor rgb="FF00B050"/>
        </patternFill>
      </fill>
    </dxf>
    <dxf>
      <font>
        <b/>
        <i val="0"/>
        <color theme="7" tint="-0.499984740745262"/>
      </font>
      <fill>
        <patternFill>
          <bgColor theme="7" tint="0.59996337778862885"/>
        </patternFill>
      </fill>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00B0F0"/>
      <color rgb="FFFFFF61"/>
      <color rgb="FFEBFFEB"/>
      <color rgb="FFCDE1D0"/>
      <color rgb="FFFA8989"/>
      <color rgb="FFFF8989"/>
      <color rgb="FFFF47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8</xdr:col>
      <xdr:colOff>1959156</xdr:colOff>
      <xdr:row>4</xdr:row>
      <xdr:rowOff>146051</xdr:rowOff>
    </xdr:from>
    <xdr:to>
      <xdr:col>16</xdr:col>
      <xdr:colOff>421005</xdr:colOff>
      <xdr:row>20</xdr:row>
      <xdr:rowOff>88901</xdr:rowOff>
    </xdr:to>
    <xdr:pic>
      <xdr:nvPicPr>
        <xdr:cNvPr id="2" name="Picture 20" descr="G:\Duurzaamheid\Materialen wijzer\DOSmaatje_poppetje_met_tekst_def.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02706" y="1327151"/>
          <a:ext cx="4722949" cy="455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580730</xdr:colOff>
      <xdr:row>0</xdr:row>
      <xdr:rowOff>123983</xdr:rowOff>
    </xdr:from>
    <xdr:to>
      <xdr:col>8</xdr:col>
      <xdr:colOff>1894681</xdr:colOff>
      <xdr:row>3</xdr:row>
      <xdr:rowOff>146050</xdr:rowOff>
    </xdr:to>
    <xdr:pic>
      <xdr:nvPicPr>
        <xdr:cNvPr id="3" name="Picture 2" descr="Image result for hdsr">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00380" y="123983"/>
          <a:ext cx="1923551" cy="1038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558977</xdr:colOff>
      <xdr:row>0</xdr:row>
      <xdr:rowOff>1</xdr:rowOff>
    </xdr:from>
    <xdr:to>
      <xdr:col>7</xdr:col>
      <xdr:colOff>508087</xdr:colOff>
      <xdr:row>3</xdr:row>
      <xdr:rowOff>127001</xdr:rowOff>
    </xdr:to>
    <xdr:pic>
      <xdr:nvPicPr>
        <xdr:cNvPr id="4" name="Picture 21" descr="G:\Duurzaamheid\Materialen wijzer\DOSmaatje_poppetje_def.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59427" y="1"/>
          <a:ext cx="116831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9</xdr:row>
      <xdr:rowOff>57150</xdr:rowOff>
    </xdr:from>
    <xdr:to>
      <xdr:col>0</xdr:col>
      <xdr:colOff>82550</xdr:colOff>
      <xdr:row>9</xdr:row>
      <xdr:rowOff>120650</xdr:rowOff>
    </xdr:to>
    <xdr:sp macro="" textlink="">
      <xdr:nvSpPr>
        <xdr:cNvPr id="5" name="Ovaal 4">
          <a:extLst>
            <a:ext uri="{FF2B5EF4-FFF2-40B4-BE49-F238E27FC236}">
              <a16:creationId xmlns:a16="http://schemas.microsoft.com/office/drawing/2014/main" id="{00000000-0008-0000-0000-000005000000}"/>
            </a:ext>
          </a:extLst>
        </xdr:cNvPr>
        <xdr:cNvSpPr/>
      </xdr:nvSpPr>
      <xdr:spPr>
        <a:xfrm>
          <a:off x="19050" y="3257550"/>
          <a:ext cx="63500" cy="63500"/>
        </a:xfrm>
        <a:prstGeom prst="ellipse">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25400</xdr:colOff>
      <xdr:row>10</xdr:row>
      <xdr:rowOff>44450</xdr:rowOff>
    </xdr:from>
    <xdr:to>
      <xdr:col>0</xdr:col>
      <xdr:colOff>88900</xdr:colOff>
      <xdr:row>10</xdr:row>
      <xdr:rowOff>107950</xdr:rowOff>
    </xdr:to>
    <xdr:sp macro="" textlink="">
      <xdr:nvSpPr>
        <xdr:cNvPr id="6" name="Ovaal 5">
          <a:extLst>
            <a:ext uri="{FF2B5EF4-FFF2-40B4-BE49-F238E27FC236}">
              <a16:creationId xmlns:a16="http://schemas.microsoft.com/office/drawing/2014/main" id="{00000000-0008-0000-0000-000006000000}"/>
            </a:ext>
          </a:extLst>
        </xdr:cNvPr>
        <xdr:cNvSpPr/>
      </xdr:nvSpPr>
      <xdr:spPr>
        <a:xfrm>
          <a:off x="25400" y="3638550"/>
          <a:ext cx="63500" cy="63500"/>
        </a:xfrm>
        <a:prstGeom prst="ellipse">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31750</xdr:colOff>
      <xdr:row>11</xdr:row>
      <xdr:rowOff>50800</xdr:rowOff>
    </xdr:from>
    <xdr:to>
      <xdr:col>0</xdr:col>
      <xdr:colOff>95250</xdr:colOff>
      <xdr:row>11</xdr:row>
      <xdr:rowOff>114300</xdr:rowOff>
    </xdr:to>
    <xdr:sp macro="" textlink="">
      <xdr:nvSpPr>
        <xdr:cNvPr id="7" name="Ovaal 6">
          <a:extLst>
            <a:ext uri="{FF2B5EF4-FFF2-40B4-BE49-F238E27FC236}">
              <a16:creationId xmlns:a16="http://schemas.microsoft.com/office/drawing/2014/main" id="{00000000-0008-0000-0000-000007000000}"/>
            </a:ext>
          </a:extLst>
        </xdr:cNvPr>
        <xdr:cNvSpPr/>
      </xdr:nvSpPr>
      <xdr:spPr>
        <a:xfrm>
          <a:off x="31750" y="3860800"/>
          <a:ext cx="63500" cy="63500"/>
        </a:xfrm>
        <a:prstGeom prst="ellipse">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25400</xdr:colOff>
      <xdr:row>12</xdr:row>
      <xdr:rowOff>69850</xdr:rowOff>
    </xdr:from>
    <xdr:to>
      <xdr:col>0</xdr:col>
      <xdr:colOff>88900</xdr:colOff>
      <xdr:row>12</xdr:row>
      <xdr:rowOff>133350</xdr:rowOff>
    </xdr:to>
    <xdr:sp macro="" textlink="">
      <xdr:nvSpPr>
        <xdr:cNvPr id="8" name="Ovaal 7">
          <a:extLst>
            <a:ext uri="{FF2B5EF4-FFF2-40B4-BE49-F238E27FC236}">
              <a16:creationId xmlns:a16="http://schemas.microsoft.com/office/drawing/2014/main" id="{00000000-0008-0000-0000-000008000000}"/>
            </a:ext>
          </a:extLst>
        </xdr:cNvPr>
        <xdr:cNvSpPr/>
      </xdr:nvSpPr>
      <xdr:spPr>
        <a:xfrm>
          <a:off x="25400" y="4095750"/>
          <a:ext cx="63500" cy="63500"/>
        </a:xfrm>
        <a:prstGeom prst="ellipse">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1615780</xdr:colOff>
      <xdr:row>0</xdr:row>
      <xdr:rowOff>295433</xdr:rowOff>
    </xdr:from>
    <xdr:to>
      <xdr:col>8</xdr:col>
      <xdr:colOff>92551</xdr:colOff>
      <xdr:row>2</xdr:row>
      <xdr:rowOff>136216</xdr:rowOff>
    </xdr:to>
    <xdr:pic>
      <xdr:nvPicPr>
        <xdr:cNvPr id="3" name="Picture 2" descr="Image result for hdsr">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0486" y="295433"/>
          <a:ext cx="1763680" cy="950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167784</xdr:colOff>
      <xdr:row>9</xdr:row>
      <xdr:rowOff>352379</xdr:rowOff>
    </xdr:from>
    <xdr:to>
      <xdr:col>7</xdr:col>
      <xdr:colOff>22188</xdr:colOff>
      <xdr:row>23</xdr:row>
      <xdr:rowOff>19819</xdr:rowOff>
    </xdr:to>
    <xdr:pic>
      <xdr:nvPicPr>
        <xdr:cNvPr id="2068" name="Picture 20" descr="G:\Duurzaamheid\Materialen wijzer\DOSmaatje_poppetje_met_tekst_def.png">
          <a:extLst>
            <a:ext uri="{FF2B5EF4-FFF2-40B4-BE49-F238E27FC236}">
              <a16:creationId xmlns:a16="http://schemas.microsoft.com/office/drawing/2014/main" id="{00000000-0008-0000-0100-000014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784" y="4043317"/>
          <a:ext cx="5009334" cy="5015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216077</xdr:colOff>
      <xdr:row>0</xdr:row>
      <xdr:rowOff>67235</xdr:rowOff>
    </xdr:from>
    <xdr:to>
      <xdr:col>7</xdr:col>
      <xdr:colOff>1388197</xdr:colOff>
      <xdr:row>3</xdr:row>
      <xdr:rowOff>189801</xdr:rowOff>
    </xdr:to>
    <xdr:pic>
      <xdr:nvPicPr>
        <xdr:cNvPr id="2069" name="Picture 21" descr="G:\Duurzaamheid\Materialen wijzer\DOSmaatje_poppetje_def.png">
          <a:extLst>
            <a:ext uri="{FF2B5EF4-FFF2-40B4-BE49-F238E27FC236}">
              <a16:creationId xmlns:a16="http://schemas.microsoft.com/office/drawing/2014/main" id="{00000000-0008-0000-0100-00001508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70783" y="67235"/>
          <a:ext cx="1168310" cy="137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2756646</xdr:colOff>
      <xdr:row>26</xdr:row>
      <xdr:rowOff>13674</xdr:rowOff>
    </xdr:from>
    <xdr:to>
      <xdr:col>9</xdr:col>
      <xdr:colOff>20806</xdr:colOff>
      <xdr:row>27</xdr:row>
      <xdr:rowOff>92196</xdr:rowOff>
    </xdr:to>
    <xdr:pic>
      <xdr:nvPicPr>
        <xdr:cNvPr id="5" name="Afbeelding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5401234" y="10211027"/>
          <a:ext cx="3705413" cy="42949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78442</xdr:colOff>
      <xdr:row>0</xdr:row>
      <xdr:rowOff>0</xdr:rowOff>
    </xdr:from>
    <xdr:to>
      <xdr:col>9</xdr:col>
      <xdr:colOff>18598</xdr:colOff>
      <xdr:row>1</xdr:row>
      <xdr:rowOff>190503</xdr:rowOff>
    </xdr:to>
    <xdr:pic>
      <xdr:nvPicPr>
        <xdr:cNvPr id="2" name="Picture 21" descr="G:\Duurzaamheid\Materialen wijzer\DOSmaatje_poppetje_def.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3913" y="0"/>
          <a:ext cx="455706" cy="541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215900</xdr:colOff>
      <xdr:row>6</xdr:row>
      <xdr:rowOff>12700</xdr:rowOff>
    </xdr:from>
    <xdr:to>
      <xdr:col>1</xdr:col>
      <xdr:colOff>0</xdr:colOff>
      <xdr:row>8</xdr:row>
      <xdr:rowOff>0</xdr:rowOff>
    </xdr:to>
    <xdr:grpSp>
      <xdr:nvGrpSpPr>
        <xdr:cNvPr id="2" name="Groep 1">
          <a:extLst>
            <a:ext uri="{FF2B5EF4-FFF2-40B4-BE49-F238E27FC236}">
              <a16:creationId xmlns:a16="http://schemas.microsoft.com/office/drawing/2014/main" id="{00000000-0008-0000-0300-000002000000}"/>
            </a:ext>
          </a:extLst>
        </xdr:cNvPr>
        <xdr:cNvGrpSpPr/>
      </xdr:nvGrpSpPr>
      <xdr:grpSpPr>
        <a:xfrm>
          <a:off x="215900" y="1651000"/>
          <a:ext cx="4679950" cy="1844675"/>
          <a:chOff x="1104900" y="76200"/>
          <a:chExt cx="8591550" cy="3270250"/>
        </a:xfrm>
      </xdr:grpSpPr>
      <xdr:pic>
        <xdr:nvPicPr>
          <xdr:cNvPr id="3" name="Afbeelding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745"/>
          <a:stretch/>
        </xdr:blipFill>
        <xdr:spPr>
          <a:xfrm>
            <a:off x="1117600" y="76200"/>
            <a:ext cx="8578850" cy="2203450"/>
          </a:xfrm>
          <a:prstGeom prst="rect">
            <a:avLst/>
          </a:prstGeom>
        </xdr:spPr>
      </xdr:pic>
      <xdr:pic>
        <xdr:nvPicPr>
          <xdr:cNvPr id="4" name="Afbeelding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104900" y="2266950"/>
            <a:ext cx="2527300" cy="1079500"/>
          </a:xfrm>
          <a:prstGeom prst="rect">
            <a:avLst/>
          </a:prstGeom>
        </xdr:spPr>
      </xdr:pic>
    </xdr:grpSp>
    <xdr:clientData/>
  </xdr:twoCellAnchor>
  <xdr:twoCellAnchor>
    <xdr:from>
      <xdr:col>0</xdr:col>
      <xdr:colOff>215900</xdr:colOff>
      <xdr:row>8</xdr:row>
      <xdr:rowOff>222250</xdr:rowOff>
    </xdr:from>
    <xdr:to>
      <xdr:col>0</xdr:col>
      <xdr:colOff>5124450</xdr:colOff>
      <xdr:row>9</xdr:row>
      <xdr:rowOff>1428750</xdr:rowOff>
    </xdr:to>
    <xdr:grpSp>
      <xdr:nvGrpSpPr>
        <xdr:cNvPr id="5" name="Groep 4">
          <a:extLst>
            <a:ext uri="{FF2B5EF4-FFF2-40B4-BE49-F238E27FC236}">
              <a16:creationId xmlns:a16="http://schemas.microsoft.com/office/drawing/2014/main" id="{00000000-0008-0000-0300-000005000000}"/>
            </a:ext>
          </a:extLst>
        </xdr:cNvPr>
        <xdr:cNvGrpSpPr/>
      </xdr:nvGrpSpPr>
      <xdr:grpSpPr>
        <a:xfrm>
          <a:off x="215900" y="3717925"/>
          <a:ext cx="4679950" cy="1558925"/>
          <a:chOff x="222250" y="3200400"/>
          <a:chExt cx="4864100" cy="1663700"/>
        </a:xfrm>
      </xdr:grpSpPr>
      <xdr:pic>
        <xdr:nvPicPr>
          <xdr:cNvPr id="6" name="Afbeelding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22250" y="3200400"/>
            <a:ext cx="4864100" cy="1337733"/>
          </a:xfrm>
          <a:prstGeom prst="rect">
            <a:avLst/>
          </a:prstGeom>
        </xdr:spPr>
      </xdr:pic>
      <xdr:pic>
        <xdr:nvPicPr>
          <xdr:cNvPr id="7" name="Afbeelding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536701" y="4533900"/>
            <a:ext cx="1639806" cy="330200"/>
          </a:xfrm>
          <a:prstGeom prst="rect">
            <a:avLst/>
          </a:prstGeom>
        </xdr:spPr>
      </xdr:pic>
    </xdr:grpSp>
    <xdr:clientData/>
  </xdr:twoCellAnchor>
  <xdr:twoCellAnchor editAs="oneCell">
    <xdr:from>
      <xdr:col>0</xdr:col>
      <xdr:colOff>209551</xdr:colOff>
      <xdr:row>10</xdr:row>
      <xdr:rowOff>17149</xdr:rowOff>
    </xdr:from>
    <xdr:to>
      <xdr:col>1</xdr:col>
      <xdr:colOff>2381</xdr:colOff>
      <xdr:row>11</xdr:row>
      <xdr:rowOff>1042919</xdr:rowOff>
    </xdr:to>
    <xdr:pic>
      <xdr:nvPicPr>
        <xdr:cNvPr id="8" name="Afbeelding 7">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209551" y="6405249"/>
          <a:ext cx="4923630" cy="1222620"/>
        </a:xfrm>
        <a:prstGeom prst="rect">
          <a:avLst/>
        </a:prstGeom>
      </xdr:spPr>
    </xdr:pic>
    <xdr:clientData/>
  </xdr:twoCellAnchor>
  <xdr:twoCellAnchor editAs="oneCell">
    <xdr:from>
      <xdr:col>11</xdr:col>
      <xdr:colOff>247650</xdr:colOff>
      <xdr:row>0</xdr:row>
      <xdr:rowOff>133350</xdr:rowOff>
    </xdr:from>
    <xdr:to>
      <xdr:col>12</xdr:col>
      <xdr:colOff>514350</xdr:colOff>
      <xdr:row>4</xdr:row>
      <xdr:rowOff>304511</xdr:rowOff>
    </xdr:to>
    <xdr:pic>
      <xdr:nvPicPr>
        <xdr:cNvPr id="9" name="Picture 21" descr="G:\Duurzaamheid\Materialen wijzer\DOSmaatje_poppetje_def.png">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737850" y="133350"/>
          <a:ext cx="844550" cy="1009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215900</xdr:colOff>
      <xdr:row>6</xdr:row>
      <xdr:rowOff>12700</xdr:rowOff>
    </xdr:from>
    <xdr:to>
      <xdr:col>1</xdr:col>
      <xdr:colOff>0</xdr:colOff>
      <xdr:row>8</xdr:row>
      <xdr:rowOff>0</xdr:rowOff>
    </xdr:to>
    <xdr:grpSp>
      <xdr:nvGrpSpPr>
        <xdr:cNvPr id="10" name="Groep 1">
          <a:extLst>
            <a:ext uri="{FF2B5EF4-FFF2-40B4-BE49-F238E27FC236}">
              <a16:creationId xmlns:a16="http://schemas.microsoft.com/office/drawing/2014/main" id="{3E412FD0-03AE-4739-85A3-9D9C40CAE799}"/>
            </a:ext>
          </a:extLst>
        </xdr:cNvPr>
        <xdr:cNvGrpSpPr/>
      </xdr:nvGrpSpPr>
      <xdr:grpSpPr>
        <a:xfrm>
          <a:off x="215900" y="1651000"/>
          <a:ext cx="4679950" cy="1844675"/>
          <a:chOff x="1104900" y="76200"/>
          <a:chExt cx="8591550" cy="3270250"/>
        </a:xfrm>
      </xdr:grpSpPr>
      <xdr:pic>
        <xdr:nvPicPr>
          <xdr:cNvPr id="11" name="Afbeelding 2">
            <a:extLst>
              <a:ext uri="{FF2B5EF4-FFF2-40B4-BE49-F238E27FC236}">
                <a16:creationId xmlns:a16="http://schemas.microsoft.com/office/drawing/2014/main" id="{E05483CE-EE85-47A0-BF11-0A642D30AFA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745"/>
          <a:stretch/>
        </xdr:blipFill>
        <xdr:spPr>
          <a:xfrm>
            <a:off x="1117600" y="76200"/>
            <a:ext cx="8578850" cy="2203450"/>
          </a:xfrm>
          <a:prstGeom prst="rect">
            <a:avLst/>
          </a:prstGeom>
        </xdr:spPr>
      </xdr:pic>
      <xdr:pic>
        <xdr:nvPicPr>
          <xdr:cNvPr id="12" name="Afbeelding 3">
            <a:extLst>
              <a:ext uri="{FF2B5EF4-FFF2-40B4-BE49-F238E27FC236}">
                <a16:creationId xmlns:a16="http://schemas.microsoft.com/office/drawing/2014/main" id="{F582ED66-7716-4A2F-91D0-F0671318444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104900" y="2266950"/>
            <a:ext cx="2527300" cy="1079500"/>
          </a:xfrm>
          <a:prstGeom prst="rect">
            <a:avLst/>
          </a:prstGeom>
        </xdr:spPr>
      </xdr:pic>
    </xdr:grpSp>
    <xdr:clientData/>
  </xdr:twoCellAnchor>
  <xdr:twoCellAnchor>
    <xdr:from>
      <xdr:col>0</xdr:col>
      <xdr:colOff>215900</xdr:colOff>
      <xdr:row>8</xdr:row>
      <xdr:rowOff>222250</xdr:rowOff>
    </xdr:from>
    <xdr:to>
      <xdr:col>1</xdr:col>
      <xdr:colOff>0</xdr:colOff>
      <xdr:row>9</xdr:row>
      <xdr:rowOff>1428750</xdr:rowOff>
    </xdr:to>
    <xdr:grpSp>
      <xdr:nvGrpSpPr>
        <xdr:cNvPr id="13" name="Groep 4">
          <a:extLst>
            <a:ext uri="{FF2B5EF4-FFF2-40B4-BE49-F238E27FC236}">
              <a16:creationId xmlns:a16="http://schemas.microsoft.com/office/drawing/2014/main" id="{AEBF27C5-694D-443D-9107-DEDB1B3E7818}"/>
            </a:ext>
          </a:extLst>
        </xdr:cNvPr>
        <xdr:cNvGrpSpPr/>
      </xdr:nvGrpSpPr>
      <xdr:grpSpPr>
        <a:xfrm>
          <a:off x="215900" y="3717925"/>
          <a:ext cx="4679950" cy="1558925"/>
          <a:chOff x="222250" y="3200400"/>
          <a:chExt cx="4864100" cy="1663700"/>
        </a:xfrm>
      </xdr:grpSpPr>
      <xdr:pic>
        <xdr:nvPicPr>
          <xdr:cNvPr id="14" name="Afbeelding 5">
            <a:extLst>
              <a:ext uri="{FF2B5EF4-FFF2-40B4-BE49-F238E27FC236}">
                <a16:creationId xmlns:a16="http://schemas.microsoft.com/office/drawing/2014/main" id="{125D4717-8C36-4482-B09A-85895DCA9F7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22250" y="3200400"/>
            <a:ext cx="4864100" cy="1337733"/>
          </a:xfrm>
          <a:prstGeom prst="rect">
            <a:avLst/>
          </a:prstGeom>
        </xdr:spPr>
      </xdr:pic>
      <xdr:pic>
        <xdr:nvPicPr>
          <xdr:cNvPr id="15" name="Afbeelding 6">
            <a:extLst>
              <a:ext uri="{FF2B5EF4-FFF2-40B4-BE49-F238E27FC236}">
                <a16:creationId xmlns:a16="http://schemas.microsoft.com/office/drawing/2014/main" id="{45F1D63E-6E6A-457F-935A-F0EDDB7BC55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536701" y="4533900"/>
            <a:ext cx="1639806" cy="330200"/>
          </a:xfrm>
          <a:prstGeom prst="rect">
            <a:avLst/>
          </a:prstGeom>
        </xdr:spPr>
      </xdr:pic>
    </xdr:grpSp>
    <xdr:clientData/>
  </xdr:twoCellAnchor>
  <xdr:twoCellAnchor editAs="oneCell">
    <xdr:from>
      <xdr:col>0</xdr:col>
      <xdr:colOff>209551</xdr:colOff>
      <xdr:row>10</xdr:row>
      <xdr:rowOff>17149</xdr:rowOff>
    </xdr:from>
    <xdr:to>
      <xdr:col>1</xdr:col>
      <xdr:colOff>2381</xdr:colOff>
      <xdr:row>11</xdr:row>
      <xdr:rowOff>1042919</xdr:rowOff>
    </xdr:to>
    <xdr:pic>
      <xdr:nvPicPr>
        <xdr:cNvPr id="16" name="Afbeelding 7">
          <a:extLst>
            <a:ext uri="{FF2B5EF4-FFF2-40B4-BE49-F238E27FC236}">
              <a16:creationId xmlns:a16="http://schemas.microsoft.com/office/drawing/2014/main" id="{0A29337D-46D1-4F70-BE68-0ED46C662169}"/>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209551" y="6703699"/>
          <a:ext cx="4688680" cy="1225795"/>
        </a:xfrm>
        <a:prstGeom prst="rect">
          <a:avLst/>
        </a:prstGeom>
      </xdr:spPr>
    </xdr:pic>
    <xdr:clientData/>
  </xdr:twoCellAnchor>
  <xdr:twoCellAnchor editAs="oneCell">
    <xdr:from>
      <xdr:col>11</xdr:col>
      <xdr:colOff>247650</xdr:colOff>
      <xdr:row>0</xdr:row>
      <xdr:rowOff>133350</xdr:rowOff>
    </xdr:from>
    <xdr:to>
      <xdr:col>12</xdr:col>
      <xdr:colOff>514350</xdr:colOff>
      <xdr:row>4</xdr:row>
      <xdr:rowOff>304511</xdr:rowOff>
    </xdr:to>
    <xdr:pic>
      <xdr:nvPicPr>
        <xdr:cNvPr id="17" name="Picture 21" descr="G:\Duurzaamheid\Materialen wijzer\DOSmaatje_poppetje_def.png">
          <a:extLst>
            <a:ext uri="{FF2B5EF4-FFF2-40B4-BE49-F238E27FC236}">
              <a16:creationId xmlns:a16="http://schemas.microsoft.com/office/drawing/2014/main" id="{FD39BCEF-DC56-42F2-A732-4D41EBF3D41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267950" y="133350"/>
          <a:ext cx="819150" cy="1152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177800</xdr:colOff>
      <xdr:row>37</xdr:row>
      <xdr:rowOff>127000</xdr:rowOff>
    </xdr:from>
    <xdr:to>
      <xdr:col>1</xdr:col>
      <xdr:colOff>3175</xdr:colOff>
      <xdr:row>39</xdr:row>
      <xdr:rowOff>2387094</xdr:rowOff>
    </xdr:to>
    <xdr:pic>
      <xdr:nvPicPr>
        <xdr:cNvPr id="15" name="Afbeelding 14">
          <a:extLst>
            <a:ext uri="{FF2B5EF4-FFF2-40B4-BE49-F238E27FC236}">
              <a16:creationId xmlns:a16="http://schemas.microsoft.com/office/drawing/2014/main" id="{00000000-0008-0000-0400-00000F000000}"/>
            </a:ext>
          </a:extLst>
        </xdr:cNvPr>
        <xdr:cNvPicPr>
          <a:picLocks noChangeAspect="1"/>
        </xdr:cNvPicPr>
      </xdr:nvPicPr>
      <xdr:blipFill rotWithShape="1">
        <a:blip xmlns:r="http://schemas.openxmlformats.org/officeDocument/2006/relationships" r:embed="rId1"/>
        <a:srcRect l="1824" t="27420" r="60985" b="21304"/>
        <a:stretch/>
      </xdr:blipFill>
      <xdr:spPr>
        <a:xfrm>
          <a:off x="177800" y="11258550"/>
          <a:ext cx="6045200" cy="2628394"/>
        </a:xfrm>
        <a:prstGeom prst="rect">
          <a:avLst/>
        </a:prstGeom>
      </xdr:spPr>
    </xdr:pic>
    <xdr:clientData/>
  </xdr:twoCellAnchor>
  <xdr:twoCellAnchor editAs="oneCell">
    <xdr:from>
      <xdr:col>0</xdr:col>
      <xdr:colOff>171450</xdr:colOff>
      <xdr:row>28</xdr:row>
      <xdr:rowOff>120650</xdr:rowOff>
    </xdr:from>
    <xdr:to>
      <xdr:col>0</xdr:col>
      <xdr:colOff>6216650</xdr:colOff>
      <xdr:row>34</xdr:row>
      <xdr:rowOff>31244</xdr:rowOff>
    </xdr:to>
    <xdr:pic>
      <xdr:nvPicPr>
        <xdr:cNvPr id="14" name="Afbeelding 13">
          <a:extLst>
            <a:ext uri="{FF2B5EF4-FFF2-40B4-BE49-F238E27FC236}">
              <a16:creationId xmlns:a16="http://schemas.microsoft.com/office/drawing/2014/main" id="{00000000-0008-0000-0400-00000E000000}"/>
            </a:ext>
          </a:extLst>
        </xdr:cNvPr>
        <xdr:cNvPicPr>
          <a:picLocks noChangeAspect="1"/>
        </xdr:cNvPicPr>
      </xdr:nvPicPr>
      <xdr:blipFill rotWithShape="1">
        <a:blip xmlns:r="http://schemas.openxmlformats.org/officeDocument/2006/relationships" r:embed="rId1"/>
        <a:srcRect l="1824" t="27420" r="60985" b="21304"/>
        <a:stretch/>
      </xdr:blipFill>
      <xdr:spPr>
        <a:xfrm>
          <a:off x="171450" y="8051800"/>
          <a:ext cx="6045200" cy="2628394"/>
        </a:xfrm>
        <a:prstGeom prst="rect">
          <a:avLst/>
        </a:prstGeom>
      </xdr:spPr>
    </xdr:pic>
    <xdr:clientData/>
  </xdr:twoCellAnchor>
  <xdr:twoCellAnchor editAs="oneCell">
    <xdr:from>
      <xdr:col>0</xdr:col>
      <xdr:colOff>152400</xdr:colOff>
      <xdr:row>21</xdr:row>
      <xdr:rowOff>107912</xdr:rowOff>
    </xdr:from>
    <xdr:to>
      <xdr:col>0</xdr:col>
      <xdr:colOff>6197600</xdr:colOff>
      <xdr:row>25</xdr:row>
      <xdr:rowOff>132806</xdr:rowOff>
    </xdr:to>
    <xdr:pic>
      <xdr:nvPicPr>
        <xdr:cNvPr id="13" name="Afbeelding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1"/>
        <a:srcRect l="1824" t="27420" r="60985" b="21304"/>
        <a:stretch/>
      </xdr:blipFill>
      <xdr:spPr>
        <a:xfrm>
          <a:off x="152400" y="4959312"/>
          <a:ext cx="6045200" cy="2628394"/>
        </a:xfrm>
        <a:prstGeom prst="rect">
          <a:avLst/>
        </a:prstGeom>
      </xdr:spPr>
    </xdr:pic>
    <xdr:clientData/>
  </xdr:twoCellAnchor>
  <xdr:twoCellAnchor editAs="oneCell">
    <xdr:from>
      <xdr:col>0</xdr:col>
      <xdr:colOff>152400</xdr:colOff>
      <xdr:row>8</xdr:row>
      <xdr:rowOff>82512</xdr:rowOff>
    </xdr:from>
    <xdr:to>
      <xdr:col>0</xdr:col>
      <xdr:colOff>6197600</xdr:colOff>
      <xdr:row>20</xdr:row>
      <xdr:rowOff>126456</xdr:rowOff>
    </xdr:to>
    <xdr:pic>
      <xdr:nvPicPr>
        <xdr:cNvPr id="12" name="Afbeelding 11">
          <a:extLst>
            <a:ext uri="{FF2B5EF4-FFF2-40B4-BE49-F238E27FC236}">
              <a16:creationId xmlns:a16="http://schemas.microsoft.com/office/drawing/2014/main" id="{00000000-0008-0000-0400-00000C000000}"/>
            </a:ext>
          </a:extLst>
        </xdr:cNvPr>
        <xdr:cNvPicPr>
          <a:picLocks noChangeAspect="1"/>
        </xdr:cNvPicPr>
      </xdr:nvPicPr>
      <xdr:blipFill rotWithShape="1">
        <a:blip xmlns:r="http://schemas.openxmlformats.org/officeDocument/2006/relationships" r:embed="rId1"/>
        <a:srcRect l="1824" t="27420" r="60985" b="21304"/>
        <a:stretch/>
      </xdr:blipFill>
      <xdr:spPr>
        <a:xfrm>
          <a:off x="152400" y="2190712"/>
          <a:ext cx="6045200" cy="2628394"/>
        </a:xfrm>
        <a:prstGeom prst="rect">
          <a:avLst/>
        </a:prstGeom>
      </xdr:spPr>
    </xdr:pic>
    <xdr:clientData/>
  </xdr:twoCellAnchor>
  <xdr:twoCellAnchor>
    <xdr:from>
      <xdr:col>0</xdr:col>
      <xdr:colOff>139700</xdr:colOff>
      <xdr:row>8</xdr:row>
      <xdr:rowOff>76200</xdr:rowOff>
    </xdr:from>
    <xdr:to>
      <xdr:col>0</xdr:col>
      <xdr:colOff>1638300</xdr:colOff>
      <xdr:row>20</xdr:row>
      <xdr:rowOff>117475</xdr:rowOff>
    </xdr:to>
    <xdr:sp macro="" textlink="">
      <xdr:nvSpPr>
        <xdr:cNvPr id="3" name="Rechthoek 2">
          <a:extLst>
            <a:ext uri="{FF2B5EF4-FFF2-40B4-BE49-F238E27FC236}">
              <a16:creationId xmlns:a16="http://schemas.microsoft.com/office/drawing/2014/main" id="{00000000-0008-0000-0400-000003000000}"/>
            </a:ext>
          </a:extLst>
        </xdr:cNvPr>
        <xdr:cNvSpPr/>
      </xdr:nvSpPr>
      <xdr:spPr>
        <a:xfrm>
          <a:off x="139700" y="2184400"/>
          <a:ext cx="1498600" cy="2625725"/>
        </a:xfrm>
        <a:prstGeom prst="rect">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1681162</xdr:colOff>
      <xdr:row>21</xdr:row>
      <xdr:rowOff>95250</xdr:rowOff>
    </xdr:from>
    <xdr:to>
      <xdr:col>0</xdr:col>
      <xdr:colOff>2347912</xdr:colOff>
      <xdr:row>25</xdr:row>
      <xdr:rowOff>152400</xdr:rowOff>
    </xdr:to>
    <xdr:sp macro="" textlink="">
      <xdr:nvSpPr>
        <xdr:cNvPr id="5" name="Rechthoek 4">
          <a:extLst>
            <a:ext uri="{FF2B5EF4-FFF2-40B4-BE49-F238E27FC236}">
              <a16:creationId xmlns:a16="http://schemas.microsoft.com/office/drawing/2014/main" id="{00000000-0008-0000-0400-000005000000}"/>
            </a:ext>
          </a:extLst>
        </xdr:cNvPr>
        <xdr:cNvSpPr/>
      </xdr:nvSpPr>
      <xdr:spPr>
        <a:xfrm>
          <a:off x="1681162" y="4946650"/>
          <a:ext cx="666750" cy="2660650"/>
        </a:xfrm>
        <a:prstGeom prst="rect">
          <a:avLst/>
        </a:prstGeom>
        <a:noFill/>
        <a:ln w="381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2381249</xdr:colOff>
      <xdr:row>28</xdr:row>
      <xdr:rowOff>104775</xdr:rowOff>
    </xdr:from>
    <xdr:to>
      <xdr:col>0</xdr:col>
      <xdr:colOff>3149600</xdr:colOff>
      <xdr:row>34</xdr:row>
      <xdr:rowOff>25400</xdr:rowOff>
    </xdr:to>
    <xdr:sp macro="" textlink="">
      <xdr:nvSpPr>
        <xdr:cNvPr id="7" name="Rechthoek 6">
          <a:extLst>
            <a:ext uri="{FF2B5EF4-FFF2-40B4-BE49-F238E27FC236}">
              <a16:creationId xmlns:a16="http://schemas.microsoft.com/office/drawing/2014/main" id="{00000000-0008-0000-0400-000007000000}"/>
            </a:ext>
          </a:extLst>
        </xdr:cNvPr>
        <xdr:cNvSpPr/>
      </xdr:nvSpPr>
      <xdr:spPr>
        <a:xfrm>
          <a:off x="2381249" y="8035925"/>
          <a:ext cx="768351" cy="2638425"/>
        </a:xfrm>
        <a:prstGeom prst="rect">
          <a:avLst/>
        </a:prstGeom>
        <a:noFill/>
        <a:ln w="38100">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3187701</xdr:colOff>
      <xdr:row>28</xdr:row>
      <xdr:rowOff>98425</xdr:rowOff>
    </xdr:from>
    <xdr:to>
      <xdr:col>0</xdr:col>
      <xdr:colOff>4006851</xdr:colOff>
      <xdr:row>34</xdr:row>
      <xdr:rowOff>31750</xdr:rowOff>
    </xdr:to>
    <xdr:sp macro="" textlink="">
      <xdr:nvSpPr>
        <xdr:cNvPr id="8" name="Rechthoek 7">
          <a:extLst>
            <a:ext uri="{FF2B5EF4-FFF2-40B4-BE49-F238E27FC236}">
              <a16:creationId xmlns:a16="http://schemas.microsoft.com/office/drawing/2014/main" id="{00000000-0008-0000-0400-000008000000}"/>
            </a:ext>
          </a:extLst>
        </xdr:cNvPr>
        <xdr:cNvSpPr/>
      </xdr:nvSpPr>
      <xdr:spPr>
        <a:xfrm>
          <a:off x="3187701" y="8029575"/>
          <a:ext cx="819150" cy="2651125"/>
        </a:xfrm>
        <a:prstGeom prst="rect">
          <a:avLst/>
        </a:prstGeom>
        <a:noFill/>
        <a:ln w="3810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4019549</xdr:colOff>
      <xdr:row>37</xdr:row>
      <xdr:rowOff>130175</xdr:rowOff>
    </xdr:from>
    <xdr:to>
      <xdr:col>0</xdr:col>
      <xdr:colOff>4622798</xdr:colOff>
      <xdr:row>39</xdr:row>
      <xdr:rowOff>2378075</xdr:rowOff>
    </xdr:to>
    <xdr:sp macro="" textlink="">
      <xdr:nvSpPr>
        <xdr:cNvPr id="10" name="Rechthoek 9">
          <a:extLst>
            <a:ext uri="{FF2B5EF4-FFF2-40B4-BE49-F238E27FC236}">
              <a16:creationId xmlns:a16="http://schemas.microsoft.com/office/drawing/2014/main" id="{00000000-0008-0000-0400-00000A000000}"/>
            </a:ext>
          </a:extLst>
        </xdr:cNvPr>
        <xdr:cNvSpPr/>
      </xdr:nvSpPr>
      <xdr:spPr>
        <a:xfrm>
          <a:off x="4019549" y="11261725"/>
          <a:ext cx="603249" cy="2616200"/>
        </a:xfrm>
        <a:prstGeom prst="rect">
          <a:avLst/>
        </a:prstGeom>
        <a:noFill/>
        <a:ln w="381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2228850</xdr:colOff>
      <xdr:row>39</xdr:row>
      <xdr:rowOff>2768600</xdr:rowOff>
    </xdr:from>
    <xdr:to>
      <xdr:col>0</xdr:col>
      <xdr:colOff>6046901</xdr:colOff>
      <xdr:row>39</xdr:row>
      <xdr:rowOff>3168589</xdr:rowOff>
    </xdr:to>
    <xdr:grpSp>
      <xdr:nvGrpSpPr>
        <xdr:cNvPr id="19" name="Groep 18">
          <a:extLst>
            <a:ext uri="{FF2B5EF4-FFF2-40B4-BE49-F238E27FC236}">
              <a16:creationId xmlns:a16="http://schemas.microsoft.com/office/drawing/2014/main" id="{00000000-0008-0000-0400-000013000000}"/>
            </a:ext>
          </a:extLst>
        </xdr:cNvPr>
        <xdr:cNvGrpSpPr/>
      </xdr:nvGrpSpPr>
      <xdr:grpSpPr>
        <a:xfrm>
          <a:off x="2228850" y="14255750"/>
          <a:ext cx="3818051" cy="399989"/>
          <a:chOff x="2228850" y="14268450"/>
          <a:chExt cx="3818051" cy="399989"/>
        </a:xfrm>
      </xdr:grpSpPr>
      <xdr:pic>
        <xdr:nvPicPr>
          <xdr:cNvPr id="11" name="Afbeelding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2"/>
          <a:srcRect l="5192" t="55564" r="6719" b="-1"/>
          <a:stretch/>
        </xdr:blipFill>
        <xdr:spPr>
          <a:xfrm>
            <a:off x="2349500" y="14452601"/>
            <a:ext cx="3448050" cy="215838"/>
          </a:xfrm>
          <a:prstGeom prst="rect">
            <a:avLst/>
          </a:prstGeom>
        </xdr:spPr>
      </xdr:pic>
      <xdr:sp macro="" textlink="">
        <xdr:nvSpPr>
          <xdr:cNvPr id="16" name="Tekstvak 15">
            <a:extLst>
              <a:ext uri="{FF2B5EF4-FFF2-40B4-BE49-F238E27FC236}">
                <a16:creationId xmlns:a16="http://schemas.microsoft.com/office/drawing/2014/main" id="{00000000-0008-0000-0400-000010000000}"/>
              </a:ext>
            </a:extLst>
          </xdr:cNvPr>
          <xdr:cNvSpPr txBox="1"/>
        </xdr:nvSpPr>
        <xdr:spPr>
          <a:xfrm>
            <a:off x="2228850" y="14281150"/>
            <a:ext cx="4347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a:t>1.00</a:t>
            </a:r>
          </a:p>
        </xdr:txBody>
      </xdr:sp>
      <xdr:sp macro="" textlink="">
        <xdr:nvSpPr>
          <xdr:cNvPr id="17" name="Tekstvak 16">
            <a:extLst>
              <a:ext uri="{FF2B5EF4-FFF2-40B4-BE49-F238E27FC236}">
                <a16:creationId xmlns:a16="http://schemas.microsoft.com/office/drawing/2014/main" id="{00000000-0008-0000-0400-000011000000}"/>
              </a:ext>
            </a:extLst>
          </xdr:cNvPr>
          <xdr:cNvSpPr txBox="1"/>
        </xdr:nvSpPr>
        <xdr:spPr>
          <a:xfrm>
            <a:off x="3714750" y="142684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a:t>0</a:t>
            </a:r>
          </a:p>
        </xdr:txBody>
      </xdr:sp>
      <xdr:sp macro="" textlink="">
        <xdr:nvSpPr>
          <xdr:cNvPr id="18" name="Tekstvak 17">
            <a:extLst>
              <a:ext uri="{FF2B5EF4-FFF2-40B4-BE49-F238E27FC236}">
                <a16:creationId xmlns:a16="http://schemas.microsoft.com/office/drawing/2014/main" id="{00000000-0008-0000-0400-000012000000}"/>
              </a:ext>
            </a:extLst>
          </xdr:cNvPr>
          <xdr:cNvSpPr txBox="1"/>
        </xdr:nvSpPr>
        <xdr:spPr>
          <a:xfrm>
            <a:off x="5568950" y="14281150"/>
            <a:ext cx="4779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a:t>-1.00</a:t>
            </a:r>
          </a:p>
        </xdr:txBody>
      </xdr:sp>
    </xdr:grpSp>
    <xdr:clientData/>
  </xdr:twoCellAnchor>
  <xdr:twoCellAnchor editAs="oneCell">
    <xdr:from>
      <xdr:col>0</xdr:col>
      <xdr:colOff>177800</xdr:colOff>
      <xdr:row>37</xdr:row>
      <xdr:rowOff>127000</xdr:rowOff>
    </xdr:from>
    <xdr:to>
      <xdr:col>1</xdr:col>
      <xdr:colOff>3175</xdr:colOff>
      <xdr:row>39</xdr:row>
      <xdr:rowOff>2387094</xdr:rowOff>
    </xdr:to>
    <xdr:pic>
      <xdr:nvPicPr>
        <xdr:cNvPr id="20" name="Afbeelding 14">
          <a:extLst>
            <a:ext uri="{FF2B5EF4-FFF2-40B4-BE49-F238E27FC236}">
              <a16:creationId xmlns:a16="http://schemas.microsoft.com/office/drawing/2014/main" id="{FB6E64B5-4170-4C6C-9C93-CE2B8ECBB2A7}"/>
            </a:ext>
          </a:extLst>
        </xdr:cNvPr>
        <xdr:cNvPicPr>
          <a:picLocks noChangeAspect="1"/>
        </xdr:cNvPicPr>
      </xdr:nvPicPr>
      <xdr:blipFill rotWithShape="1">
        <a:blip xmlns:r="http://schemas.openxmlformats.org/officeDocument/2006/relationships" r:embed="rId1"/>
        <a:srcRect l="1824" t="27420" r="60985" b="21304"/>
        <a:stretch/>
      </xdr:blipFill>
      <xdr:spPr>
        <a:xfrm>
          <a:off x="177800" y="11233150"/>
          <a:ext cx="6045200" cy="2641094"/>
        </a:xfrm>
        <a:prstGeom prst="rect">
          <a:avLst/>
        </a:prstGeom>
      </xdr:spPr>
    </xdr:pic>
    <xdr:clientData/>
  </xdr:twoCellAnchor>
  <xdr:twoCellAnchor editAs="oneCell">
    <xdr:from>
      <xdr:col>0</xdr:col>
      <xdr:colOff>171450</xdr:colOff>
      <xdr:row>28</xdr:row>
      <xdr:rowOff>120650</xdr:rowOff>
    </xdr:from>
    <xdr:to>
      <xdr:col>0</xdr:col>
      <xdr:colOff>6216650</xdr:colOff>
      <xdr:row>34</xdr:row>
      <xdr:rowOff>31244</xdr:rowOff>
    </xdr:to>
    <xdr:pic>
      <xdr:nvPicPr>
        <xdr:cNvPr id="21" name="Afbeelding 13">
          <a:extLst>
            <a:ext uri="{FF2B5EF4-FFF2-40B4-BE49-F238E27FC236}">
              <a16:creationId xmlns:a16="http://schemas.microsoft.com/office/drawing/2014/main" id="{760F7574-C440-4392-A987-93E56DE9D5ED}"/>
            </a:ext>
          </a:extLst>
        </xdr:cNvPr>
        <xdr:cNvPicPr>
          <a:picLocks noChangeAspect="1"/>
        </xdr:cNvPicPr>
      </xdr:nvPicPr>
      <xdr:blipFill rotWithShape="1">
        <a:blip xmlns:r="http://schemas.openxmlformats.org/officeDocument/2006/relationships" r:embed="rId1"/>
        <a:srcRect l="1824" t="27420" r="60985" b="21304"/>
        <a:stretch/>
      </xdr:blipFill>
      <xdr:spPr>
        <a:xfrm>
          <a:off x="171450" y="7997825"/>
          <a:ext cx="6045200" cy="2644269"/>
        </a:xfrm>
        <a:prstGeom prst="rect">
          <a:avLst/>
        </a:prstGeom>
      </xdr:spPr>
    </xdr:pic>
    <xdr:clientData/>
  </xdr:twoCellAnchor>
  <xdr:twoCellAnchor editAs="oneCell">
    <xdr:from>
      <xdr:col>0</xdr:col>
      <xdr:colOff>152400</xdr:colOff>
      <xdr:row>21</xdr:row>
      <xdr:rowOff>107912</xdr:rowOff>
    </xdr:from>
    <xdr:to>
      <xdr:col>0</xdr:col>
      <xdr:colOff>6197600</xdr:colOff>
      <xdr:row>25</xdr:row>
      <xdr:rowOff>132806</xdr:rowOff>
    </xdr:to>
    <xdr:pic>
      <xdr:nvPicPr>
        <xdr:cNvPr id="22" name="Afbeelding 12">
          <a:extLst>
            <a:ext uri="{FF2B5EF4-FFF2-40B4-BE49-F238E27FC236}">
              <a16:creationId xmlns:a16="http://schemas.microsoft.com/office/drawing/2014/main" id="{F376A0DA-3548-443F-A74B-112A3ED6C8EF}"/>
            </a:ext>
          </a:extLst>
        </xdr:cNvPr>
        <xdr:cNvPicPr>
          <a:picLocks noChangeAspect="1"/>
        </xdr:cNvPicPr>
      </xdr:nvPicPr>
      <xdr:blipFill rotWithShape="1">
        <a:blip xmlns:r="http://schemas.openxmlformats.org/officeDocument/2006/relationships" r:embed="rId1"/>
        <a:srcRect l="1824" t="27420" r="60985" b="21304"/>
        <a:stretch/>
      </xdr:blipFill>
      <xdr:spPr>
        <a:xfrm>
          <a:off x="152400" y="4898987"/>
          <a:ext cx="6045200" cy="2625219"/>
        </a:xfrm>
        <a:prstGeom prst="rect">
          <a:avLst/>
        </a:prstGeom>
      </xdr:spPr>
    </xdr:pic>
    <xdr:clientData/>
  </xdr:twoCellAnchor>
  <xdr:twoCellAnchor editAs="oneCell">
    <xdr:from>
      <xdr:col>0</xdr:col>
      <xdr:colOff>152400</xdr:colOff>
      <xdr:row>8</xdr:row>
      <xdr:rowOff>82512</xdr:rowOff>
    </xdr:from>
    <xdr:to>
      <xdr:col>0</xdr:col>
      <xdr:colOff>6197600</xdr:colOff>
      <xdr:row>20</xdr:row>
      <xdr:rowOff>126456</xdr:rowOff>
    </xdr:to>
    <xdr:pic>
      <xdr:nvPicPr>
        <xdr:cNvPr id="23" name="Afbeelding 11">
          <a:extLst>
            <a:ext uri="{FF2B5EF4-FFF2-40B4-BE49-F238E27FC236}">
              <a16:creationId xmlns:a16="http://schemas.microsoft.com/office/drawing/2014/main" id="{F8811558-606A-494A-9130-AEFAF4831F72}"/>
            </a:ext>
          </a:extLst>
        </xdr:cNvPr>
        <xdr:cNvPicPr>
          <a:picLocks noChangeAspect="1"/>
        </xdr:cNvPicPr>
      </xdr:nvPicPr>
      <xdr:blipFill rotWithShape="1">
        <a:blip xmlns:r="http://schemas.openxmlformats.org/officeDocument/2006/relationships" r:embed="rId1"/>
        <a:srcRect l="1824" t="27420" r="60985" b="21304"/>
        <a:stretch/>
      </xdr:blipFill>
      <xdr:spPr>
        <a:xfrm>
          <a:off x="152400" y="2187537"/>
          <a:ext cx="6045200" cy="2577594"/>
        </a:xfrm>
        <a:prstGeom prst="rect">
          <a:avLst/>
        </a:prstGeom>
      </xdr:spPr>
    </xdr:pic>
    <xdr:clientData/>
  </xdr:twoCellAnchor>
  <xdr:twoCellAnchor>
    <xdr:from>
      <xdr:col>0</xdr:col>
      <xdr:colOff>139700</xdr:colOff>
      <xdr:row>8</xdr:row>
      <xdr:rowOff>76200</xdr:rowOff>
    </xdr:from>
    <xdr:to>
      <xdr:col>0</xdr:col>
      <xdr:colOff>1638300</xdr:colOff>
      <xdr:row>20</xdr:row>
      <xdr:rowOff>117475</xdr:rowOff>
    </xdr:to>
    <xdr:sp macro="" textlink="">
      <xdr:nvSpPr>
        <xdr:cNvPr id="24" name="Rechthoek 2">
          <a:extLst>
            <a:ext uri="{FF2B5EF4-FFF2-40B4-BE49-F238E27FC236}">
              <a16:creationId xmlns:a16="http://schemas.microsoft.com/office/drawing/2014/main" id="{4B10CEE5-FA1F-4D4E-946E-9DC830969927}"/>
            </a:ext>
          </a:extLst>
        </xdr:cNvPr>
        <xdr:cNvSpPr/>
      </xdr:nvSpPr>
      <xdr:spPr>
        <a:xfrm>
          <a:off x="139700" y="2181225"/>
          <a:ext cx="1498600" cy="2574925"/>
        </a:xfrm>
        <a:prstGeom prst="rect">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1681162</xdr:colOff>
      <xdr:row>21</xdr:row>
      <xdr:rowOff>95250</xdr:rowOff>
    </xdr:from>
    <xdr:to>
      <xdr:col>0</xdr:col>
      <xdr:colOff>2347912</xdr:colOff>
      <xdr:row>25</xdr:row>
      <xdr:rowOff>152400</xdr:rowOff>
    </xdr:to>
    <xdr:sp macro="" textlink="">
      <xdr:nvSpPr>
        <xdr:cNvPr id="25" name="Rechthoek 4">
          <a:extLst>
            <a:ext uri="{FF2B5EF4-FFF2-40B4-BE49-F238E27FC236}">
              <a16:creationId xmlns:a16="http://schemas.microsoft.com/office/drawing/2014/main" id="{237F284C-B459-4530-B9CA-911288BD4686}"/>
            </a:ext>
          </a:extLst>
        </xdr:cNvPr>
        <xdr:cNvSpPr/>
      </xdr:nvSpPr>
      <xdr:spPr>
        <a:xfrm>
          <a:off x="1681162" y="4886325"/>
          <a:ext cx="666750" cy="2657475"/>
        </a:xfrm>
        <a:prstGeom prst="rect">
          <a:avLst/>
        </a:prstGeom>
        <a:noFill/>
        <a:ln w="381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2381249</xdr:colOff>
      <xdr:row>28</xdr:row>
      <xdr:rowOff>104775</xdr:rowOff>
    </xdr:from>
    <xdr:to>
      <xdr:col>0</xdr:col>
      <xdr:colOff>3149600</xdr:colOff>
      <xdr:row>34</xdr:row>
      <xdr:rowOff>25400</xdr:rowOff>
    </xdr:to>
    <xdr:sp macro="" textlink="">
      <xdr:nvSpPr>
        <xdr:cNvPr id="26" name="Rechthoek 6">
          <a:extLst>
            <a:ext uri="{FF2B5EF4-FFF2-40B4-BE49-F238E27FC236}">
              <a16:creationId xmlns:a16="http://schemas.microsoft.com/office/drawing/2014/main" id="{1ED3FE5C-73BF-4ECD-9A3B-C223B276AEA1}"/>
            </a:ext>
          </a:extLst>
        </xdr:cNvPr>
        <xdr:cNvSpPr/>
      </xdr:nvSpPr>
      <xdr:spPr>
        <a:xfrm>
          <a:off x="2381249" y="7981950"/>
          <a:ext cx="768351" cy="2654300"/>
        </a:xfrm>
        <a:prstGeom prst="rect">
          <a:avLst/>
        </a:prstGeom>
        <a:noFill/>
        <a:ln w="38100">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3187701</xdr:colOff>
      <xdr:row>28</xdr:row>
      <xdr:rowOff>98425</xdr:rowOff>
    </xdr:from>
    <xdr:to>
      <xdr:col>0</xdr:col>
      <xdr:colOff>4006851</xdr:colOff>
      <xdr:row>34</xdr:row>
      <xdr:rowOff>31750</xdr:rowOff>
    </xdr:to>
    <xdr:sp macro="" textlink="">
      <xdr:nvSpPr>
        <xdr:cNvPr id="27" name="Rechthoek 7">
          <a:extLst>
            <a:ext uri="{FF2B5EF4-FFF2-40B4-BE49-F238E27FC236}">
              <a16:creationId xmlns:a16="http://schemas.microsoft.com/office/drawing/2014/main" id="{F5D22305-9EC0-43DC-A926-38CA79041742}"/>
            </a:ext>
          </a:extLst>
        </xdr:cNvPr>
        <xdr:cNvSpPr/>
      </xdr:nvSpPr>
      <xdr:spPr>
        <a:xfrm>
          <a:off x="3187701" y="7975600"/>
          <a:ext cx="819150" cy="2667000"/>
        </a:xfrm>
        <a:prstGeom prst="rect">
          <a:avLst/>
        </a:prstGeom>
        <a:noFill/>
        <a:ln w="3810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4019549</xdr:colOff>
      <xdr:row>37</xdr:row>
      <xdr:rowOff>130175</xdr:rowOff>
    </xdr:from>
    <xdr:to>
      <xdr:col>0</xdr:col>
      <xdr:colOff>4622798</xdr:colOff>
      <xdr:row>39</xdr:row>
      <xdr:rowOff>2378075</xdr:rowOff>
    </xdr:to>
    <xdr:sp macro="" textlink="">
      <xdr:nvSpPr>
        <xdr:cNvPr id="28" name="Rechthoek 9">
          <a:extLst>
            <a:ext uri="{FF2B5EF4-FFF2-40B4-BE49-F238E27FC236}">
              <a16:creationId xmlns:a16="http://schemas.microsoft.com/office/drawing/2014/main" id="{1D79530A-0CED-41C1-A750-96F1A9AC37FF}"/>
            </a:ext>
          </a:extLst>
        </xdr:cNvPr>
        <xdr:cNvSpPr/>
      </xdr:nvSpPr>
      <xdr:spPr>
        <a:xfrm>
          <a:off x="4019549" y="11236325"/>
          <a:ext cx="603249" cy="2628900"/>
        </a:xfrm>
        <a:prstGeom prst="rect">
          <a:avLst/>
        </a:prstGeom>
        <a:noFill/>
        <a:ln w="381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2228850</xdr:colOff>
      <xdr:row>39</xdr:row>
      <xdr:rowOff>2768600</xdr:rowOff>
    </xdr:from>
    <xdr:to>
      <xdr:col>0</xdr:col>
      <xdr:colOff>6046901</xdr:colOff>
      <xdr:row>39</xdr:row>
      <xdr:rowOff>3168589</xdr:rowOff>
    </xdr:to>
    <xdr:grpSp>
      <xdr:nvGrpSpPr>
        <xdr:cNvPr id="29" name="Groep 18">
          <a:extLst>
            <a:ext uri="{FF2B5EF4-FFF2-40B4-BE49-F238E27FC236}">
              <a16:creationId xmlns:a16="http://schemas.microsoft.com/office/drawing/2014/main" id="{9AF95731-B937-4D06-A546-48A983158A1B}"/>
            </a:ext>
          </a:extLst>
        </xdr:cNvPr>
        <xdr:cNvGrpSpPr/>
      </xdr:nvGrpSpPr>
      <xdr:grpSpPr>
        <a:xfrm>
          <a:off x="2228850" y="14255750"/>
          <a:ext cx="3818051" cy="399989"/>
          <a:chOff x="2228850" y="14268450"/>
          <a:chExt cx="3818051" cy="399989"/>
        </a:xfrm>
      </xdr:grpSpPr>
      <xdr:pic>
        <xdr:nvPicPr>
          <xdr:cNvPr id="30" name="Afbeelding 10">
            <a:extLst>
              <a:ext uri="{FF2B5EF4-FFF2-40B4-BE49-F238E27FC236}">
                <a16:creationId xmlns:a16="http://schemas.microsoft.com/office/drawing/2014/main" id="{DA66268B-6FC7-4BBE-A195-94CC03FD8A51}"/>
              </a:ext>
            </a:extLst>
          </xdr:cNvPr>
          <xdr:cNvPicPr>
            <a:picLocks noChangeAspect="1"/>
          </xdr:cNvPicPr>
        </xdr:nvPicPr>
        <xdr:blipFill rotWithShape="1">
          <a:blip xmlns:r="http://schemas.openxmlformats.org/officeDocument/2006/relationships" r:embed="rId2"/>
          <a:srcRect l="5192" t="55564" r="6719" b="-1"/>
          <a:stretch/>
        </xdr:blipFill>
        <xdr:spPr>
          <a:xfrm>
            <a:off x="2349500" y="14452601"/>
            <a:ext cx="3448050" cy="215838"/>
          </a:xfrm>
          <a:prstGeom prst="rect">
            <a:avLst/>
          </a:prstGeom>
        </xdr:spPr>
      </xdr:pic>
      <xdr:sp macro="" textlink="">
        <xdr:nvSpPr>
          <xdr:cNvPr id="31" name="Tekstvak 15">
            <a:extLst>
              <a:ext uri="{FF2B5EF4-FFF2-40B4-BE49-F238E27FC236}">
                <a16:creationId xmlns:a16="http://schemas.microsoft.com/office/drawing/2014/main" id="{6C0EF2DB-5B88-4610-A670-06A0F8BB2DBD}"/>
              </a:ext>
            </a:extLst>
          </xdr:cNvPr>
          <xdr:cNvSpPr txBox="1"/>
        </xdr:nvSpPr>
        <xdr:spPr>
          <a:xfrm>
            <a:off x="2228850" y="14281150"/>
            <a:ext cx="4347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a:t>1.00</a:t>
            </a:r>
          </a:p>
        </xdr:txBody>
      </xdr:sp>
      <xdr:sp macro="" textlink="">
        <xdr:nvSpPr>
          <xdr:cNvPr id="32" name="Tekstvak 16">
            <a:extLst>
              <a:ext uri="{FF2B5EF4-FFF2-40B4-BE49-F238E27FC236}">
                <a16:creationId xmlns:a16="http://schemas.microsoft.com/office/drawing/2014/main" id="{36A1E50D-7F17-4279-B5EF-14D6138D7758}"/>
              </a:ext>
            </a:extLst>
          </xdr:cNvPr>
          <xdr:cNvSpPr txBox="1"/>
        </xdr:nvSpPr>
        <xdr:spPr>
          <a:xfrm>
            <a:off x="3714750" y="142684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a:t>0</a:t>
            </a:r>
          </a:p>
        </xdr:txBody>
      </xdr:sp>
      <xdr:sp macro="" textlink="">
        <xdr:nvSpPr>
          <xdr:cNvPr id="33" name="Tekstvak 17">
            <a:extLst>
              <a:ext uri="{FF2B5EF4-FFF2-40B4-BE49-F238E27FC236}">
                <a16:creationId xmlns:a16="http://schemas.microsoft.com/office/drawing/2014/main" id="{248950EF-5DBA-4B94-B658-65CCDF07D2B8}"/>
              </a:ext>
            </a:extLst>
          </xdr:cNvPr>
          <xdr:cNvSpPr txBox="1"/>
        </xdr:nvSpPr>
        <xdr:spPr>
          <a:xfrm>
            <a:off x="5568950" y="14281150"/>
            <a:ext cx="4779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a:t>-1.00</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276225</xdr:colOff>
      <xdr:row>4</xdr:row>
      <xdr:rowOff>1149350</xdr:rowOff>
    </xdr:from>
    <xdr:to>
      <xdr:col>0</xdr:col>
      <xdr:colOff>5292724</xdr:colOff>
      <xdr:row>17</xdr:row>
      <xdr:rowOff>3810</xdr:rowOff>
    </xdr:to>
    <xdr:pic>
      <xdr:nvPicPr>
        <xdr:cNvPr id="2" name="Afbeelding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76225" y="2120900"/>
          <a:ext cx="5064124" cy="2749550"/>
        </a:xfrm>
        <a:prstGeom prst="rect">
          <a:avLst/>
        </a:prstGeom>
      </xdr:spPr>
    </xdr:pic>
    <xdr:clientData/>
  </xdr:twoCellAnchor>
  <xdr:twoCellAnchor editAs="oneCell">
    <xdr:from>
      <xdr:col>2</xdr:col>
      <xdr:colOff>5143500</xdr:colOff>
      <xdr:row>0</xdr:row>
      <xdr:rowOff>1</xdr:rowOff>
    </xdr:from>
    <xdr:to>
      <xdr:col>3</xdr:col>
      <xdr:colOff>101600</xdr:colOff>
      <xdr:row>3</xdr:row>
      <xdr:rowOff>184151</xdr:rowOff>
    </xdr:to>
    <xdr:pic>
      <xdr:nvPicPr>
        <xdr:cNvPr id="3" name="Picture 21" descr="G:\Duurzaamheid\Materialen wijzer\DOSmaatje_poppetje_def.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52150" y="1"/>
          <a:ext cx="844550" cy="92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276225</xdr:colOff>
      <xdr:row>4</xdr:row>
      <xdr:rowOff>1149350</xdr:rowOff>
    </xdr:from>
    <xdr:to>
      <xdr:col>0</xdr:col>
      <xdr:colOff>5292724</xdr:colOff>
      <xdr:row>17</xdr:row>
      <xdr:rowOff>3810</xdr:rowOff>
    </xdr:to>
    <xdr:pic>
      <xdr:nvPicPr>
        <xdr:cNvPr id="4" name="Afbeelding 1">
          <a:extLst>
            <a:ext uri="{FF2B5EF4-FFF2-40B4-BE49-F238E27FC236}">
              <a16:creationId xmlns:a16="http://schemas.microsoft.com/office/drawing/2014/main" id="{4DC2AA0F-5D78-4C1F-979E-DF065650EC6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76225" y="2130425"/>
          <a:ext cx="5016499" cy="2654935"/>
        </a:xfrm>
        <a:prstGeom prst="rect">
          <a:avLst/>
        </a:prstGeom>
      </xdr:spPr>
    </xdr:pic>
    <xdr:clientData/>
  </xdr:twoCellAnchor>
  <xdr:twoCellAnchor editAs="oneCell">
    <xdr:from>
      <xdr:col>2</xdr:col>
      <xdr:colOff>5143500</xdr:colOff>
      <xdr:row>0</xdr:row>
      <xdr:rowOff>1</xdr:rowOff>
    </xdr:from>
    <xdr:to>
      <xdr:col>3</xdr:col>
      <xdr:colOff>101600</xdr:colOff>
      <xdr:row>3</xdr:row>
      <xdr:rowOff>184151</xdr:rowOff>
    </xdr:to>
    <xdr:pic>
      <xdr:nvPicPr>
        <xdr:cNvPr id="5" name="Picture 21" descr="G:\Duurzaamheid\Materialen wijzer\DOSmaatje_poppetje_def.png">
          <a:extLst>
            <a:ext uri="{FF2B5EF4-FFF2-40B4-BE49-F238E27FC236}">
              <a16:creationId xmlns:a16="http://schemas.microsoft.com/office/drawing/2014/main" id="{D14AAE0B-FC3D-433B-B9EF-0435C36A927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91800" y="1"/>
          <a:ext cx="577850" cy="93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Jasper Roosendaal" id="{44F18290-5002-4B97-9507-63F8ACD6BE44}" userId="S::jasper.roosendaal@rhdhv.com::6e0f0fc5-d533-49d2-b20c-e5e31735e170" providerId="AD"/>
</personList>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7" dT="2022-10-05T08:13:54.87" personId="{44F18290-5002-4B97-9507-63F8ACD6BE44}" id="{8838DB41-399E-49F1-A7A2-D7DC2796A500}">
    <text>Mocht je een element missen, kijk dan in het tabblad 'uitleg invoer' bij stap 2. Hier is uitgelegd hoe je het element kunt opsporen.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22"/>
  <sheetViews>
    <sheetView showGridLines="0" topLeftCell="A4" zoomScaleNormal="100" workbookViewId="0">
      <selection activeCell="B11" sqref="B11:I11"/>
    </sheetView>
  </sheetViews>
  <sheetFormatPr defaultRowHeight="12.75" x14ac:dyDescent="0.2"/>
  <cols>
    <col min="1" max="1" width="1.7109375" customWidth="1"/>
    <col min="2" max="2" width="25.28515625" customWidth="1"/>
    <col min="9" max="9" width="28.5703125" customWidth="1"/>
  </cols>
  <sheetData>
    <row r="1" spans="2:9" ht="49.15" customHeight="1" x14ac:dyDescent="0.4">
      <c r="B1" s="394" t="s">
        <v>412</v>
      </c>
      <c r="C1" s="395"/>
      <c r="D1" s="395"/>
      <c r="E1" s="393"/>
      <c r="F1" s="393"/>
      <c r="G1" s="393"/>
      <c r="H1" s="393"/>
      <c r="I1" s="393"/>
    </row>
    <row r="2" spans="2:9" ht="18" x14ac:dyDescent="0.2">
      <c r="B2" s="395" t="s">
        <v>413</v>
      </c>
      <c r="C2" s="400"/>
      <c r="D2" s="393"/>
      <c r="E2" s="393"/>
      <c r="F2" s="393"/>
      <c r="G2" s="393"/>
      <c r="H2" s="393"/>
      <c r="I2" s="393"/>
    </row>
    <row r="3" spans="2:9" x14ac:dyDescent="0.2">
      <c r="B3" s="401"/>
      <c r="C3" s="400"/>
      <c r="D3" s="393"/>
      <c r="E3" s="393"/>
      <c r="F3" s="393"/>
      <c r="G3" s="393"/>
      <c r="H3" s="393"/>
      <c r="I3" s="393"/>
    </row>
    <row r="4" spans="2:9" ht="13.5" thickBot="1" x14ac:dyDescent="0.25">
      <c r="B4" s="393"/>
      <c r="C4" s="393"/>
      <c r="D4" s="393"/>
      <c r="E4" s="393"/>
      <c r="F4" s="393"/>
      <c r="G4" s="393"/>
      <c r="H4" s="393"/>
      <c r="I4" s="393"/>
    </row>
    <row r="5" spans="2:9" ht="16.5" thickBot="1" x14ac:dyDescent="0.25">
      <c r="B5" s="520" t="s">
        <v>423</v>
      </c>
      <c r="C5" s="521"/>
      <c r="D5" s="521"/>
      <c r="E5" s="521"/>
      <c r="F5" s="521"/>
      <c r="G5" s="521"/>
      <c r="H5" s="521"/>
      <c r="I5" s="522"/>
    </row>
    <row r="6" spans="2:9" x14ac:dyDescent="0.2">
      <c r="B6" s="523" t="s">
        <v>460</v>
      </c>
      <c r="C6" s="523"/>
      <c r="D6" s="523"/>
      <c r="E6" s="523"/>
      <c r="F6" s="523"/>
      <c r="G6" s="523"/>
      <c r="H6" s="523"/>
      <c r="I6" s="523"/>
    </row>
    <row r="7" spans="2:9" ht="83.65" customHeight="1" thickBot="1" x14ac:dyDescent="0.25">
      <c r="B7" s="524"/>
      <c r="C7" s="524"/>
      <c r="D7" s="524"/>
      <c r="E7" s="524"/>
      <c r="F7" s="524"/>
      <c r="G7" s="524"/>
      <c r="H7" s="524"/>
      <c r="I7" s="524"/>
    </row>
    <row r="8" spans="2:9" ht="16.5" customHeight="1" thickBot="1" x14ac:dyDescent="0.25">
      <c r="B8" s="520" t="s">
        <v>452</v>
      </c>
      <c r="C8" s="521"/>
      <c r="D8" s="521"/>
      <c r="E8" s="521"/>
      <c r="F8" s="521"/>
      <c r="G8" s="521"/>
      <c r="H8" s="521"/>
      <c r="I8" s="522"/>
    </row>
    <row r="9" spans="2:9" ht="16.5" customHeight="1" x14ac:dyDescent="0.2">
      <c r="B9" s="523" t="s">
        <v>453</v>
      </c>
      <c r="C9" s="523"/>
      <c r="D9" s="523"/>
      <c r="E9" s="523"/>
      <c r="F9" s="523"/>
      <c r="G9" s="523"/>
      <c r="H9" s="523"/>
      <c r="I9" s="523"/>
    </row>
    <row r="10" spans="2:9" ht="31.15" customHeight="1" x14ac:dyDescent="0.2">
      <c r="B10" s="524" t="s">
        <v>461</v>
      </c>
      <c r="C10" s="524"/>
      <c r="D10" s="524"/>
      <c r="E10" s="524"/>
      <c r="F10" s="524"/>
      <c r="G10" s="524"/>
      <c r="H10" s="524"/>
      <c r="I10" s="524"/>
    </row>
    <row r="11" spans="2:9" ht="16.899999999999999" customHeight="1" x14ac:dyDescent="0.2">
      <c r="B11" s="524" t="s">
        <v>455</v>
      </c>
      <c r="C11" s="524"/>
      <c r="D11" s="524"/>
      <c r="E11" s="524"/>
      <c r="F11" s="524"/>
      <c r="G11" s="524"/>
      <c r="H11" s="524"/>
      <c r="I11" s="524"/>
    </row>
    <row r="12" spans="2:9" ht="16.899999999999999" customHeight="1" x14ac:dyDescent="0.2">
      <c r="B12" s="524" t="s">
        <v>456</v>
      </c>
      <c r="C12" s="524"/>
      <c r="D12" s="524"/>
      <c r="E12" s="524"/>
      <c r="F12" s="524"/>
      <c r="G12" s="524"/>
      <c r="H12" s="524"/>
      <c r="I12" s="524"/>
    </row>
    <row r="13" spans="2:9" ht="28.15" customHeight="1" x14ac:dyDescent="0.2">
      <c r="B13" s="524" t="s">
        <v>454</v>
      </c>
      <c r="C13" s="524"/>
      <c r="D13" s="524"/>
      <c r="E13" s="524"/>
      <c r="F13" s="524"/>
      <c r="G13" s="524"/>
      <c r="H13" s="524"/>
      <c r="I13" s="524"/>
    </row>
    <row r="14" spans="2:9" ht="19.149999999999999" customHeight="1" thickBot="1" x14ac:dyDescent="0.25">
      <c r="B14" s="439"/>
      <c r="C14" s="439"/>
      <c r="D14" s="439"/>
      <c r="E14" s="439"/>
      <c r="F14" s="439"/>
      <c r="G14" s="439"/>
      <c r="H14" s="439"/>
      <c r="I14" s="439"/>
    </row>
    <row r="15" spans="2:9" ht="16.5" thickBot="1" x14ac:dyDescent="0.25">
      <c r="B15" s="440" t="s">
        <v>424</v>
      </c>
      <c r="C15" s="441" t="s">
        <v>425</v>
      </c>
      <c r="D15" s="441"/>
      <c r="E15" s="441"/>
      <c r="F15" s="441"/>
      <c r="G15" s="441"/>
      <c r="H15" s="441"/>
      <c r="I15" s="442"/>
    </row>
    <row r="16" spans="2:9" ht="27.4" customHeight="1" x14ac:dyDescent="0.2">
      <c r="B16" s="186" t="s">
        <v>477</v>
      </c>
      <c r="C16" s="523" t="s">
        <v>445</v>
      </c>
      <c r="D16" s="523"/>
      <c r="E16" s="523"/>
      <c r="F16" s="523"/>
      <c r="G16" s="523"/>
      <c r="H16" s="523"/>
      <c r="I16" s="523"/>
    </row>
    <row r="17" spans="2:9" x14ac:dyDescent="0.2">
      <c r="B17" s="186" t="s">
        <v>446</v>
      </c>
      <c r="C17" s="518" t="s">
        <v>462</v>
      </c>
      <c r="D17" s="518"/>
      <c r="E17" s="518"/>
      <c r="F17" s="518"/>
      <c r="G17" s="518"/>
      <c r="H17" s="518"/>
      <c r="I17" s="518"/>
    </row>
    <row r="18" spans="2:9" ht="25.15" customHeight="1" x14ac:dyDescent="0.2">
      <c r="B18" s="186" t="s">
        <v>447</v>
      </c>
      <c r="C18" s="519" t="s">
        <v>448</v>
      </c>
      <c r="D18" s="519"/>
      <c r="E18" s="519"/>
      <c r="F18" s="519"/>
      <c r="G18" s="519"/>
      <c r="H18" s="519"/>
      <c r="I18" s="519"/>
    </row>
    <row r="19" spans="2:9" x14ac:dyDescent="0.2">
      <c r="B19" s="186" t="s">
        <v>426</v>
      </c>
      <c r="C19" s="518" t="s">
        <v>478</v>
      </c>
      <c r="D19" s="518"/>
      <c r="E19" s="518"/>
      <c r="F19" s="518"/>
      <c r="G19" s="518"/>
      <c r="H19" s="518"/>
      <c r="I19" s="518"/>
    </row>
    <row r="20" spans="2:9" ht="12.4" customHeight="1" x14ac:dyDescent="0.2">
      <c r="B20" s="186" t="s">
        <v>427</v>
      </c>
      <c r="C20" s="519" t="s">
        <v>450</v>
      </c>
      <c r="D20" s="519"/>
      <c r="E20" s="519"/>
      <c r="F20" s="519"/>
      <c r="G20" s="519"/>
      <c r="H20" s="519"/>
      <c r="I20" s="519"/>
    </row>
    <row r="21" spans="2:9" ht="27" customHeight="1" x14ac:dyDescent="0.2">
      <c r="B21" s="186" t="s">
        <v>428</v>
      </c>
      <c r="C21" s="519" t="s">
        <v>449</v>
      </c>
      <c r="D21" s="519"/>
      <c r="E21" s="519"/>
      <c r="F21" s="519"/>
      <c r="G21" s="519"/>
      <c r="H21" s="519"/>
      <c r="I21" s="519"/>
    </row>
    <row r="22" spans="2:9" ht="27" customHeight="1" x14ac:dyDescent="0.2">
      <c r="B22" s="186" t="s">
        <v>429</v>
      </c>
      <c r="C22" s="519" t="s">
        <v>451</v>
      </c>
      <c r="D22" s="519"/>
      <c r="E22" s="519"/>
      <c r="F22" s="519"/>
      <c r="G22" s="519"/>
      <c r="H22" s="519"/>
      <c r="I22" s="519"/>
    </row>
  </sheetData>
  <mergeCells count="15">
    <mergeCell ref="C17:I17"/>
    <mergeCell ref="C18:I18"/>
    <mergeCell ref="C21:I21"/>
    <mergeCell ref="C22:I22"/>
    <mergeCell ref="B5:I5"/>
    <mergeCell ref="B6:I7"/>
    <mergeCell ref="C16:I16"/>
    <mergeCell ref="C19:I19"/>
    <mergeCell ref="C20:I20"/>
    <mergeCell ref="B8:I8"/>
    <mergeCell ref="B9:I9"/>
    <mergeCell ref="B10:I10"/>
    <mergeCell ref="B11:I11"/>
    <mergeCell ref="B12:I12"/>
    <mergeCell ref="B13:I13"/>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J12"/>
  <sheetViews>
    <sheetView showGridLines="0" zoomScale="115" zoomScaleNormal="115" workbookViewId="0">
      <selection activeCell="C24" sqref="C24"/>
    </sheetView>
  </sheetViews>
  <sheetFormatPr defaultColWidth="8.7109375" defaultRowHeight="12" x14ac:dyDescent="0.2"/>
  <cols>
    <col min="1" max="8" width="8.7109375" style="67"/>
    <col min="9" max="9" width="15.42578125" style="67" customWidth="1"/>
    <col min="10" max="10" width="10.7109375" style="67" customWidth="1"/>
    <col min="11" max="16384" width="8.7109375" style="67"/>
  </cols>
  <sheetData>
    <row r="2" spans="2:10" ht="15" x14ac:dyDescent="0.25">
      <c r="B2" s="154" t="s">
        <v>479</v>
      </c>
    </row>
    <row r="4" spans="2:10" ht="225.75" customHeight="1" x14ac:dyDescent="0.2">
      <c r="B4" s="568" t="s">
        <v>409</v>
      </c>
      <c r="C4" s="568"/>
      <c r="D4" s="568"/>
      <c r="E4" s="568"/>
      <c r="F4" s="568"/>
      <c r="G4" s="568"/>
      <c r="H4" s="568"/>
      <c r="I4" s="568"/>
      <c r="J4" s="568"/>
    </row>
    <row r="5" spans="2:10" s="70" customFormat="1" ht="16.350000000000001" customHeight="1" x14ac:dyDescent="0.2">
      <c r="B5" s="68" t="s">
        <v>244</v>
      </c>
      <c r="C5" s="69"/>
      <c r="D5" s="69"/>
      <c r="E5" s="69"/>
      <c r="F5" s="69"/>
      <c r="G5" s="69"/>
      <c r="H5" s="69"/>
      <c r="I5" s="68" t="s">
        <v>243</v>
      </c>
    </row>
    <row r="6" spans="2:10" x14ac:dyDescent="0.2">
      <c r="B6" s="144" t="s">
        <v>372</v>
      </c>
      <c r="C6" s="145"/>
      <c r="D6" s="145"/>
      <c r="E6" s="145"/>
      <c r="F6" s="145"/>
      <c r="G6" s="145"/>
      <c r="H6" s="146"/>
      <c r="I6" s="152" t="s">
        <v>371</v>
      </c>
      <c r="J6" s="304" t="s">
        <v>382</v>
      </c>
    </row>
    <row r="7" spans="2:10" x14ac:dyDescent="0.2">
      <c r="B7" s="147" t="s">
        <v>373</v>
      </c>
      <c r="H7" s="148"/>
      <c r="I7" s="153" t="s">
        <v>379</v>
      </c>
      <c r="J7" s="305" t="s">
        <v>383</v>
      </c>
    </row>
    <row r="8" spans="2:10" x14ac:dyDescent="0.2">
      <c r="B8" s="147" t="s">
        <v>374</v>
      </c>
      <c r="H8" s="148"/>
      <c r="I8" s="141" t="s">
        <v>378</v>
      </c>
      <c r="J8" s="308" t="s">
        <v>384</v>
      </c>
    </row>
    <row r="9" spans="2:10" x14ac:dyDescent="0.2">
      <c r="B9" s="147" t="s">
        <v>375</v>
      </c>
      <c r="H9" s="148"/>
      <c r="I9" s="142" t="s">
        <v>380</v>
      </c>
      <c r="J9" s="306" t="s">
        <v>385</v>
      </c>
    </row>
    <row r="10" spans="2:10" x14ac:dyDescent="0.2">
      <c r="B10" s="147" t="s">
        <v>377</v>
      </c>
      <c r="H10" s="148"/>
      <c r="I10" s="302" t="s">
        <v>381</v>
      </c>
      <c r="J10" s="310" t="s">
        <v>386</v>
      </c>
    </row>
    <row r="11" spans="2:10" x14ac:dyDescent="0.2">
      <c r="B11" s="147" t="s">
        <v>376</v>
      </c>
      <c r="H11" s="148"/>
      <c r="I11" s="143" t="s">
        <v>388</v>
      </c>
      <c r="J11" s="309" t="s">
        <v>387</v>
      </c>
    </row>
    <row r="12" spans="2:10" x14ac:dyDescent="0.2">
      <c r="B12" s="149" t="s">
        <v>314</v>
      </c>
      <c r="C12" s="150"/>
      <c r="D12" s="150"/>
      <c r="E12" s="150"/>
      <c r="F12" s="150"/>
      <c r="G12" s="150"/>
      <c r="H12" s="151"/>
      <c r="I12" s="303"/>
      <c r="J12" s="307"/>
    </row>
  </sheetData>
  <mergeCells count="1">
    <mergeCell ref="B4:J4"/>
  </mergeCells>
  <pageMargins left="0.7" right="0.7" top="0.75" bottom="0.75" header="0.3" footer="0.3"/>
  <pageSetup paperSize="9" orientation="portrait" horizontalDpi="3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6"/>
  <sheetViews>
    <sheetView zoomScale="85" zoomScaleNormal="85" workbookViewId="0">
      <selection activeCell="F9" sqref="F9"/>
    </sheetView>
  </sheetViews>
  <sheetFormatPr defaultRowHeight="12.75" x14ac:dyDescent="0.2"/>
  <cols>
    <col min="8" max="8" width="68.42578125" customWidth="1"/>
    <col min="12" max="12" width="37.42578125" bestFit="1" customWidth="1"/>
    <col min="13" max="13" width="96.5703125" bestFit="1" customWidth="1"/>
  </cols>
  <sheetData>
    <row r="1" spans="1:16383" x14ac:dyDescent="0.2">
      <c r="A1" s="21">
        <f t="shared" ref="A1:A12" si="0">C1</f>
        <v>1</v>
      </c>
      <c r="B1" s="4" t="s">
        <v>177</v>
      </c>
      <c r="C1" s="12">
        <f>IF(B1=Database!B13,Database!C13,Database!C13+1)</f>
        <v>1</v>
      </c>
      <c r="D1" s="13">
        <f t="shared" ref="D1:D12" si="1">F1</f>
        <v>1</v>
      </c>
      <c r="E1" s="3" t="s">
        <v>220</v>
      </c>
      <c r="F1" s="22">
        <f>IF(E1=Database!E13,Database!F13,Database!F13+1)</f>
        <v>1</v>
      </c>
      <c r="G1" s="23"/>
      <c r="H1" s="3" t="s">
        <v>308</v>
      </c>
      <c r="I1" s="24">
        <v>14</v>
      </c>
      <c r="J1" s="58" t="s">
        <v>49</v>
      </c>
      <c r="K1" s="25">
        <v>0</v>
      </c>
      <c r="L1" s="26"/>
      <c r="M1" s="26" t="s">
        <v>309</v>
      </c>
      <c r="N1" s="26"/>
      <c r="U1" s="8"/>
    </row>
    <row r="2" spans="1:16383" x14ac:dyDescent="0.2">
      <c r="A2" s="21">
        <f t="shared" si="0"/>
        <v>1</v>
      </c>
      <c r="B2" s="4" t="s">
        <v>177</v>
      </c>
      <c r="C2" s="12">
        <f>IF(B2=Database!B15,Database!C15,Database!C15+1)</f>
        <v>1</v>
      </c>
      <c r="D2" s="13">
        <f t="shared" si="1"/>
        <v>1</v>
      </c>
      <c r="E2" s="3" t="s">
        <v>220</v>
      </c>
      <c r="F2" s="22">
        <f>IF(E2=Database!E15,Database!F15,Database!F15+1)</f>
        <v>1</v>
      </c>
      <c r="G2" s="23"/>
      <c r="H2" s="3" t="s">
        <v>247</v>
      </c>
      <c r="I2" s="24">
        <v>14</v>
      </c>
      <c r="J2" s="58" t="s">
        <v>49</v>
      </c>
      <c r="K2" s="25">
        <v>0</v>
      </c>
      <c r="L2" s="26"/>
      <c r="M2" s="26" t="s">
        <v>249</v>
      </c>
      <c r="N2" s="26"/>
      <c r="U2" s="8"/>
    </row>
    <row r="3" spans="1:16383" x14ac:dyDescent="0.2">
      <c r="A3" s="21">
        <f t="shared" si="0"/>
        <v>1</v>
      </c>
      <c r="B3" s="4" t="s">
        <v>177</v>
      </c>
      <c r="C3" s="12">
        <f>IF(B3=Database!B16,Database!C16,Database!C16+1)</f>
        <v>1</v>
      </c>
      <c r="D3" s="13">
        <f t="shared" si="1"/>
        <v>1</v>
      </c>
      <c r="E3" s="3" t="s">
        <v>220</v>
      </c>
      <c r="F3" s="22">
        <f>IF(E3=Database!E16,Database!F16,Database!F16+1)</f>
        <v>1</v>
      </c>
      <c r="G3" s="23"/>
      <c r="H3" s="3" t="s">
        <v>248</v>
      </c>
      <c r="I3" s="24">
        <v>15</v>
      </c>
      <c r="J3" s="58" t="s">
        <v>49</v>
      </c>
      <c r="K3" s="25">
        <v>0</v>
      </c>
      <c r="L3" s="26"/>
      <c r="M3" s="26" t="s">
        <v>249</v>
      </c>
      <c r="N3" s="26"/>
      <c r="U3" s="8"/>
    </row>
    <row r="4" spans="1:16383" x14ac:dyDescent="0.2">
      <c r="A4" s="21">
        <f t="shared" si="0"/>
        <v>4</v>
      </c>
      <c r="B4" s="4" t="s">
        <v>55</v>
      </c>
      <c r="C4" s="12">
        <f>IF(B4=Database!B120,Database!C120,Database!C120+1)</f>
        <v>4</v>
      </c>
      <c r="D4" s="13">
        <f t="shared" si="1"/>
        <v>19</v>
      </c>
      <c r="E4" s="3" t="s">
        <v>93</v>
      </c>
      <c r="F4" s="22">
        <f>IF(E4=Database!E120,Database!F120,Database!F120+1)</f>
        <v>19</v>
      </c>
      <c r="G4" s="23"/>
      <c r="H4" s="3" t="s">
        <v>254</v>
      </c>
      <c r="I4" s="24">
        <v>100</v>
      </c>
      <c r="J4" s="58" t="s">
        <v>49</v>
      </c>
      <c r="K4" s="25">
        <v>0</v>
      </c>
      <c r="L4" s="26"/>
      <c r="M4" s="26"/>
      <c r="N4" s="26"/>
      <c r="U4" s="8"/>
    </row>
    <row r="5" spans="1:16383" x14ac:dyDescent="0.2">
      <c r="A5" s="21">
        <f t="shared" si="0"/>
        <v>4</v>
      </c>
      <c r="B5" s="4" t="s">
        <v>55</v>
      </c>
      <c r="C5" s="12">
        <f>IF(B5=Database!B123,Database!C123,Database!C123+1)</f>
        <v>4</v>
      </c>
      <c r="D5" s="13">
        <f t="shared" si="1"/>
        <v>19</v>
      </c>
      <c r="E5" s="3" t="s">
        <v>93</v>
      </c>
      <c r="F5" s="22">
        <f>IF(E5=Database!E123,Database!F123,Database!F123+1)</f>
        <v>19</v>
      </c>
      <c r="G5" s="23"/>
      <c r="H5" s="3" t="s">
        <v>250</v>
      </c>
      <c r="I5" s="24">
        <v>102</v>
      </c>
      <c r="J5" s="58" t="s">
        <v>49</v>
      </c>
      <c r="K5" s="25">
        <v>0</v>
      </c>
      <c r="L5" s="26"/>
      <c r="M5" s="26" t="s">
        <v>251</v>
      </c>
      <c r="N5" s="26"/>
      <c r="U5" s="8"/>
    </row>
    <row r="6" spans="1:16383" x14ac:dyDescent="0.2">
      <c r="A6" s="21">
        <f t="shared" si="0"/>
        <v>5</v>
      </c>
      <c r="B6" s="4" t="s">
        <v>129</v>
      </c>
      <c r="C6" s="12">
        <f>IF(B6=Database!B188,Database!C188,Database!C188+1)</f>
        <v>5</v>
      </c>
      <c r="D6" s="13">
        <f t="shared" si="1"/>
        <v>28</v>
      </c>
      <c r="E6" s="3" t="s">
        <v>116</v>
      </c>
      <c r="F6" s="22">
        <f>IF(E6=Database!E188,Database!F188,Database!F188+1)</f>
        <v>28</v>
      </c>
      <c r="G6" s="23"/>
      <c r="H6" s="3" t="s">
        <v>255</v>
      </c>
      <c r="I6" s="24">
        <v>155</v>
      </c>
      <c r="J6" s="58" t="s">
        <v>49</v>
      </c>
      <c r="K6" s="25">
        <v>0</v>
      </c>
      <c r="L6" s="26" t="s">
        <v>256</v>
      </c>
      <c r="M6" s="26"/>
      <c r="N6" s="26"/>
      <c r="U6" s="8"/>
    </row>
    <row r="7" spans="1:16383" x14ac:dyDescent="0.2">
      <c r="A7" s="21">
        <f t="shared" si="0"/>
        <v>9</v>
      </c>
      <c r="B7" s="4" t="s">
        <v>53</v>
      </c>
      <c r="C7" s="12">
        <f>IF(B7=Database!B289,Database!C289,Database!C289+1)</f>
        <v>9</v>
      </c>
      <c r="D7" s="13">
        <f t="shared" si="1"/>
        <v>42</v>
      </c>
      <c r="E7" s="3" t="s">
        <v>80</v>
      </c>
      <c r="F7" s="22">
        <f>IF(E7=Database!E289,Database!F289,Database!F289+1)</f>
        <v>42</v>
      </c>
      <c r="G7" s="23"/>
      <c r="H7" s="3" t="s">
        <v>252</v>
      </c>
      <c r="I7" s="24">
        <v>244</v>
      </c>
      <c r="J7" s="58" t="s">
        <v>49</v>
      </c>
      <c r="K7" s="25">
        <v>0</v>
      </c>
      <c r="L7" s="26" t="s">
        <v>253</v>
      </c>
      <c r="M7" s="26"/>
      <c r="N7" s="26"/>
      <c r="U7" s="8"/>
    </row>
    <row r="8" spans="1:16383" x14ac:dyDescent="0.2">
      <c r="A8" s="21">
        <f t="shared" si="0"/>
        <v>9</v>
      </c>
      <c r="B8" s="4" t="s">
        <v>53</v>
      </c>
      <c r="C8" s="12">
        <f>IF(B8=Database!B316,Database!C316,Database!C316+1)</f>
        <v>9</v>
      </c>
      <c r="D8" s="13">
        <f t="shared" si="1"/>
        <v>46</v>
      </c>
      <c r="E8" s="3" t="s">
        <v>93</v>
      </c>
      <c r="F8" s="22">
        <f>IF(E8=Database!E316,Database!F316,Database!F316+1)</f>
        <v>46</v>
      </c>
      <c r="G8" s="23"/>
      <c r="H8" s="3" t="s">
        <v>254</v>
      </c>
      <c r="I8" s="24">
        <v>268</v>
      </c>
      <c r="J8" s="58" t="s">
        <v>49</v>
      </c>
      <c r="K8" s="25">
        <v>0</v>
      </c>
      <c r="L8" s="26"/>
      <c r="M8" s="26"/>
      <c r="N8" s="26"/>
      <c r="U8" s="8"/>
    </row>
    <row r="9" spans="1:16383" x14ac:dyDescent="0.2">
      <c r="A9" s="21">
        <f t="shared" si="0"/>
        <v>9</v>
      </c>
      <c r="B9" s="4" t="s">
        <v>53</v>
      </c>
      <c r="C9" s="12">
        <f>IF(B9=Database!B319,Database!C319,Database!C319+1)</f>
        <v>9</v>
      </c>
      <c r="D9" s="13">
        <f t="shared" si="1"/>
        <v>46</v>
      </c>
      <c r="E9" s="3" t="s">
        <v>93</v>
      </c>
      <c r="F9" s="22">
        <f>IF(E9=Database!E319,Database!F319,Database!F319+1)</f>
        <v>46</v>
      </c>
      <c r="G9" s="23"/>
      <c r="H9" s="3" t="s">
        <v>250</v>
      </c>
      <c r="I9" s="24">
        <v>270</v>
      </c>
      <c r="J9" s="58" t="s">
        <v>49</v>
      </c>
      <c r="K9" s="25">
        <v>0</v>
      </c>
      <c r="L9" s="26"/>
      <c r="M9" s="26" t="s">
        <v>251</v>
      </c>
      <c r="N9" s="26"/>
      <c r="U9" s="8"/>
    </row>
    <row r="10" spans="1:16383" x14ac:dyDescent="0.2">
      <c r="A10" s="21">
        <f t="shared" si="0"/>
        <v>11</v>
      </c>
      <c r="B10" s="4" t="s">
        <v>180</v>
      </c>
      <c r="C10" s="12">
        <f>IF(B10=Database!B342,Database!C342,Database!C342+1)</f>
        <v>11</v>
      </c>
      <c r="D10" s="13">
        <f t="shared" si="1"/>
        <v>50</v>
      </c>
      <c r="E10" s="3" t="s">
        <v>93</v>
      </c>
      <c r="F10" s="22">
        <f>IF(E10=Database!E342,Database!F342,Database!F342+1)</f>
        <v>50</v>
      </c>
      <c r="G10" s="23"/>
      <c r="H10" s="3" t="s">
        <v>254</v>
      </c>
      <c r="I10" s="24">
        <v>291</v>
      </c>
      <c r="J10" s="58" t="s">
        <v>49</v>
      </c>
      <c r="K10" s="25">
        <v>0</v>
      </c>
      <c r="L10" s="26"/>
      <c r="M10" s="26"/>
      <c r="N10" s="26"/>
      <c r="U10" s="8"/>
    </row>
    <row r="11" spans="1:16383" x14ac:dyDescent="0.2">
      <c r="A11" s="21">
        <f t="shared" si="0"/>
        <v>11</v>
      </c>
      <c r="B11" s="4" t="s">
        <v>180</v>
      </c>
      <c r="C11" s="12">
        <f>IF(B11=B10,C10,C10+1)</f>
        <v>11</v>
      </c>
      <c r="D11" s="13">
        <f t="shared" si="1"/>
        <v>50</v>
      </c>
      <c r="E11" s="3" t="s">
        <v>93</v>
      </c>
      <c r="F11" s="22">
        <f>IF(E11=E10,F10,F10+1)</f>
        <v>50</v>
      </c>
      <c r="G11" s="23"/>
      <c r="H11" s="3" t="s">
        <v>250</v>
      </c>
      <c r="I11" s="24">
        <v>293</v>
      </c>
      <c r="J11" s="58" t="s">
        <v>49</v>
      </c>
      <c r="K11" s="25">
        <v>0</v>
      </c>
      <c r="L11" s="26"/>
      <c r="M11" s="26" t="s">
        <v>251</v>
      </c>
      <c r="N11" s="26"/>
      <c r="U11" s="8"/>
    </row>
    <row r="12" spans="1:16383" x14ac:dyDescent="0.2">
      <c r="A12" s="21">
        <f t="shared" si="0"/>
        <v>11</v>
      </c>
      <c r="B12" s="4" t="s">
        <v>180</v>
      </c>
      <c r="C12" s="12">
        <f>IF(B12=Database!B345,Database!C345,Database!C345+1)</f>
        <v>11</v>
      </c>
      <c r="D12" s="13">
        <f t="shared" si="1"/>
        <v>50</v>
      </c>
      <c r="E12" s="3" t="s">
        <v>93</v>
      </c>
      <c r="F12" s="22">
        <f>IF(E12=Database!E345,Database!F345,Database!F345+1)</f>
        <v>50</v>
      </c>
      <c r="G12" s="23"/>
      <c r="H12" s="3" t="s">
        <v>250</v>
      </c>
      <c r="I12" s="24">
        <v>293</v>
      </c>
      <c r="J12" s="58" t="s">
        <v>49</v>
      </c>
      <c r="K12" s="25">
        <v>0</v>
      </c>
      <c r="L12" s="26"/>
      <c r="M12" s="26" t="s">
        <v>251</v>
      </c>
      <c r="N12" s="26"/>
      <c r="U12" s="8"/>
    </row>
    <row r="13" spans="1:16383" x14ac:dyDescent="0.2">
      <c r="A13" s="21"/>
      <c r="B13" s="4"/>
      <c r="C13" s="12"/>
      <c r="D13" s="13"/>
      <c r="E13" s="3"/>
      <c r="F13" s="22"/>
      <c r="G13" s="23"/>
      <c r="H13" s="3"/>
      <c r="I13" s="24"/>
      <c r="J13" s="58"/>
      <c r="K13" s="25"/>
      <c r="L13" s="26"/>
      <c r="M13" s="26"/>
      <c r="N13" s="26"/>
      <c r="U13" s="8"/>
    </row>
    <row r="14" spans="1:16383" x14ac:dyDescent="0.2">
      <c r="A14" s="21"/>
      <c r="B14" s="4"/>
      <c r="C14" s="12"/>
      <c r="D14" s="13"/>
      <c r="E14" s="3"/>
      <c r="F14" s="22"/>
      <c r="G14" s="23"/>
      <c r="H14" s="3"/>
      <c r="I14" s="24"/>
      <c r="J14" s="58"/>
      <c r="K14" s="25"/>
      <c r="L14" s="26"/>
      <c r="M14" s="26"/>
      <c r="N14" s="26"/>
      <c r="U14" s="8"/>
    </row>
    <row r="15" spans="1:16383" s="271" customFormat="1" ht="15.75" thickBot="1" x14ac:dyDescent="0.3">
      <c r="B15" s="271" t="s">
        <v>405</v>
      </c>
    </row>
    <row r="16" spans="1:16383" ht="64.5" thickTop="1" x14ac:dyDescent="0.2">
      <c r="A16" s="244"/>
      <c r="B16" s="245" t="s">
        <v>144</v>
      </c>
      <c r="C16" s="245"/>
      <c r="D16" s="245"/>
      <c r="E16" s="246" t="s">
        <v>51</v>
      </c>
      <c r="F16" s="246"/>
      <c r="G16" s="244"/>
      <c r="H16" s="247" t="s">
        <v>52</v>
      </c>
      <c r="I16" s="247" t="s">
        <v>183</v>
      </c>
      <c r="J16" s="245" t="s">
        <v>27</v>
      </c>
      <c r="K16" s="294" t="s">
        <v>239</v>
      </c>
      <c r="L16" s="289" t="s">
        <v>339</v>
      </c>
      <c r="M16" s="243" t="s">
        <v>394</v>
      </c>
      <c r="N16" s="243" t="s">
        <v>396</v>
      </c>
      <c r="O16" s="243" t="s">
        <v>338</v>
      </c>
      <c r="P16" s="248" t="s">
        <v>223</v>
      </c>
      <c r="Q16" s="248" t="s">
        <v>219</v>
      </c>
      <c r="R16" s="246" t="s">
        <v>228</v>
      </c>
      <c r="S16" s="249" t="s">
        <v>304</v>
      </c>
      <c r="T16" s="249" t="s">
        <v>222</v>
      </c>
      <c r="U16" s="250" t="s">
        <v>278</v>
      </c>
      <c r="V16" s="250" t="s">
        <v>158</v>
      </c>
      <c r="W16" s="250" t="s">
        <v>330</v>
      </c>
      <c r="X16" s="250" t="s">
        <v>224</v>
      </c>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c r="BJ16" s="251"/>
      <c r="BK16" s="251"/>
      <c r="BL16" s="251"/>
      <c r="BM16" s="251"/>
      <c r="BN16" s="251"/>
      <c r="BO16" s="251"/>
      <c r="BP16" s="251"/>
      <c r="BQ16" s="251"/>
      <c r="BR16" s="251"/>
      <c r="BS16" s="251"/>
      <c r="BT16" s="251"/>
      <c r="BU16" s="251"/>
      <c r="BV16" s="251"/>
      <c r="BW16" s="251"/>
      <c r="BX16" s="251"/>
      <c r="BY16" s="251"/>
      <c r="BZ16" s="251"/>
      <c r="CA16" s="251"/>
      <c r="CB16" s="251"/>
      <c r="CC16" s="251"/>
      <c r="CD16" s="251"/>
      <c r="CE16" s="251"/>
      <c r="CF16" s="251"/>
      <c r="CG16" s="251"/>
      <c r="CH16" s="251"/>
      <c r="CI16" s="251"/>
      <c r="CJ16" s="251"/>
      <c r="CK16" s="251"/>
      <c r="CL16" s="251"/>
      <c r="CM16" s="251"/>
      <c r="CN16" s="251"/>
      <c r="CO16" s="251"/>
      <c r="CP16" s="251"/>
      <c r="CQ16" s="251"/>
      <c r="CR16" s="251"/>
      <c r="CS16" s="251"/>
      <c r="CT16" s="251"/>
      <c r="CU16" s="251"/>
      <c r="CV16" s="251"/>
      <c r="CW16" s="251"/>
      <c r="CX16" s="251"/>
      <c r="CY16" s="251"/>
      <c r="CZ16" s="251"/>
      <c r="DA16" s="251"/>
      <c r="DB16" s="251"/>
      <c r="DC16" s="251"/>
      <c r="DD16" s="251"/>
      <c r="DE16" s="251"/>
      <c r="DF16" s="251"/>
      <c r="DG16" s="251"/>
      <c r="DH16" s="251"/>
      <c r="DI16" s="251"/>
      <c r="DJ16" s="251"/>
      <c r="DK16" s="251"/>
      <c r="DL16" s="251"/>
      <c r="DM16" s="251"/>
      <c r="DN16" s="251"/>
      <c r="DO16" s="251"/>
      <c r="DP16" s="251"/>
      <c r="DQ16" s="251"/>
      <c r="DR16" s="251"/>
      <c r="DS16" s="251"/>
      <c r="DT16" s="251"/>
      <c r="DU16" s="251"/>
      <c r="DV16" s="251"/>
      <c r="DW16" s="251"/>
      <c r="DX16" s="251"/>
      <c r="DY16" s="251"/>
      <c r="DZ16" s="251"/>
      <c r="EA16" s="251"/>
      <c r="EB16" s="251"/>
      <c r="EC16" s="251"/>
      <c r="ED16" s="251"/>
      <c r="EE16" s="251"/>
      <c r="EF16" s="251"/>
      <c r="EG16" s="251"/>
      <c r="EH16" s="251"/>
      <c r="EI16" s="251"/>
      <c r="EJ16" s="251"/>
      <c r="EK16" s="251"/>
      <c r="EL16" s="251"/>
      <c r="EM16" s="251"/>
      <c r="EN16" s="251"/>
      <c r="EO16" s="251"/>
      <c r="EP16" s="251"/>
      <c r="EQ16" s="251"/>
      <c r="ER16" s="251"/>
      <c r="ES16" s="251"/>
      <c r="ET16" s="251"/>
      <c r="EU16" s="251"/>
      <c r="EV16" s="251"/>
      <c r="EW16" s="251"/>
      <c r="EX16" s="251"/>
      <c r="EY16" s="251"/>
      <c r="EZ16" s="251"/>
      <c r="FA16" s="251"/>
      <c r="FB16" s="251"/>
      <c r="FC16" s="251"/>
      <c r="FD16" s="251"/>
      <c r="FE16" s="251"/>
      <c r="FF16" s="251"/>
      <c r="FG16" s="251"/>
      <c r="FH16" s="251"/>
      <c r="FI16" s="251"/>
      <c r="FJ16" s="251"/>
      <c r="FK16" s="251"/>
      <c r="FL16" s="251"/>
      <c r="FM16" s="251"/>
      <c r="FN16" s="251"/>
      <c r="FO16" s="251"/>
      <c r="FP16" s="251"/>
      <c r="FQ16" s="251"/>
      <c r="FR16" s="251"/>
      <c r="FS16" s="251"/>
      <c r="FT16" s="251"/>
      <c r="FU16" s="251"/>
      <c r="FV16" s="251"/>
      <c r="FW16" s="251"/>
      <c r="FX16" s="251"/>
      <c r="FY16" s="251"/>
      <c r="FZ16" s="251"/>
      <c r="GA16" s="251"/>
      <c r="GB16" s="251"/>
      <c r="GC16" s="251"/>
      <c r="GD16" s="251"/>
      <c r="GE16" s="251"/>
      <c r="GF16" s="251"/>
      <c r="GG16" s="251"/>
      <c r="GH16" s="251"/>
      <c r="GI16" s="251"/>
      <c r="GJ16" s="251"/>
      <c r="GK16" s="251"/>
      <c r="GL16" s="251"/>
      <c r="GM16" s="251"/>
      <c r="GN16" s="251"/>
      <c r="GO16" s="251"/>
      <c r="GP16" s="251"/>
      <c r="GQ16" s="251"/>
      <c r="GR16" s="251"/>
      <c r="GS16" s="251"/>
      <c r="GT16" s="251"/>
      <c r="GU16" s="251"/>
      <c r="GV16" s="251"/>
      <c r="GW16" s="251"/>
      <c r="GX16" s="251"/>
      <c r="GY16" s="251"/>
      <c r="GZ16" s="251"/>
      <c r="HA16" s="251"/>
      <c r="HB16" s="251"/>
      <c r="HC16" s="251"/>
      <c r="HD16" s="251"/>
      <c r="HE16" s="251"/>
      <c r="HF16" s="251"/>
      <c r="HG16" s="251"/>
      <c r="HH16" s="251"/>
      <c r="HI16" s="251"/>
      <c r="HJ16" s="251"/>
      <c r="HK16" s="251"/>
      <c r="HL16" s="251"/>
      <c r="HM16" s="251"/>
      <c r="HN16" s="251"/>
      <c r="HO16" s="251"/>
      <c r="HP16" s="251"/>
      <c r="HQ16" s="251"/>
      <c r="HR16" s="251"/>
      <c r="HS16" s="251"/>
      <c r="HT16" s="251"/>
      <c r="HU16" s="251"/>
      <c r="HV16" s="251"/>
      <c r="HW16" s="251"/>
      <c r="HX16" s="251"/>
      <c r="HY16" s="251"/>
      <c r="HZ16" s="251"/>
      <c r="IA16" s="251"/>
      <c r="IB16" s="251"/>
      <c r="IC16" s="251"/>
      <c r="ID16" s="251"/>
      <c r="IE16" s="251"/>
      <c r="IF16" s="251"/>
      <c r="IG16" s="251"/>
      <c r="IH16" s="251"/>
      <c r="II16" s="251"/>
      <c r="IJ16" s="251"/>
      <c r="IK16" s="251"/>
      <c r="IL16" s="251"/>
      <c r="IM16" s="251"/>
      <c r="IN16" s="251"/>
      <c r="IO16" s="251"/>
      <c r="IP16" s="251"/>
      <c r="IQ16" s="251"/>
      <c r="IR16" s="251"/>
      <c r="IS16" s="251"/>
      <c r="IT16" s="251"/>
      <c r="IU16" s="251"/>
      <c r="IV16" s="251"/>
      <c r="IW16" s="251"/>
      <c r="IX16" s="251"/>
      <c r="IY16" s="251"/>
      <c r="IZ16" s="251"/>
      <c r="JA16" s="251"/>
      <c r="JB16" s="251"/>
      <c r="JC16" s="251"/>
      <c r="JD16" s="251"/>
      <c r="JE16" s="251"/>
      <c r="JF16" s="251"/>
      <c r="JG16" s="251"/>
      <c r="JH16" s="251"/>
      <c r="JI16" s="251"/>
      <c r="JJ16" s="251"/>
      <c r="JK16" s="251"/>
      <c r="JL16" s="251"/>
      <c r="JM16" s="251"/>
      <c r="JN16" s="251"/>
      <c r="JO16" s="251"/>
      <c r="JP16" s="251"/>
      <c r="JQ16" s="251"/>
      <c r="JR16" s="251"/>
      <c r="JS16" s="251"/>
      <c r="JT16" s="251"/>
      <c r="JU16" s="251"/>
      <c r="JV16" s="251"/>
      <c r="JW16" s="251"/>
      <c r="JX16" s="251"/>
      <c r="JY16" s="251"/>
      <c r="JZ16" s="251"/>
      <c r="KA16" s="251"/>
      <c r="KB16" s="251"/>
      <c r="KC16" s="251"/>
      <c r="KD16" s="251"/>
      <c r="KE16" s="251"/>
      <c r="KF16" s="251"/>
      <c r="KG16" s="251"/>
      <c r="KH16" s="251"/>
      <c r="KI16" s="251"/>
      <c r="KJ16" s="251"/>
      <c r="KK16" s="251"/>
      <c r="KL16" s="251"/>
      <c r="KM16" s="251"/>
      <c r="KN16" s="251"/>
      <c r="KO16" s="251"/>
      <c r="KP16" s="251"/>
      <c r="KQ16" s="251"/>
      <c r="KR16" s="251"/>
      <c r="KS16" s="251"/>
      <c r="KT16" s="251"/>
      <c r="KU16" s="251"/>
      <c r="KV16" s="251"/>
      <c r="KW16" s="251"/>
      <c r="KX16" s="251"/>
      <c r="KY16" s="251"/>
      <c r="KZ16" s="251"/>
      <c r="LA16" s="251"/>
      <c r="LB16" s="251"/>
      <c r="LC16" s="251"/>
      <c r="LD16" s="251"/>
      <c r="LE16" s="251"/>
      <c r="LF16" s="251"/>
      <c r="LG16" s="251"/>
      <c r="LH16" s="251"/>
      <c r="LI16" s="251"/>
      <c r="LJ16" s="251"/>
      <c r="LK16" s="251"/>
      <c r="LL16" s="251"/>
      <c r="LM16" s="251"/>
      <c r="LN16" s="251"/>
      <c r="LO16" s="251"/>
      <c r="LP16" s="251"/>
      <c r="LQ16" s="251"/>
      <c r="LR16" s="251"/>
      <c r="LS16" s="251"/>
      <c r="LT16" s="251"/>
      <c r="LU16" s="251"/>
      <c r="LV16" s="251"/>
      <c r="LW16" s="251"/>
      <c r="LX16" s="251"/>
      <c r="LY16" s="251"/>
      <c r="LZ16" s="251"/>
      <c r="MA16" s="251"/>
      <c r="MB16" s="251"/>
      <c r="MC16" s="251"/>
      <c r="MD16" s="251"/>
      <c r="ME16" s="251"/>
      <c r="MF16" s="251"/>
      <c r="MG16" s="251"/>
      <c r="MH16" s="251"/>
      <c r="MI16" s="251"/>
      <c r="MJ16" s="251"/>
      <c r="MK16" s="251"/>
      <c r="ML16" s="251"/>
      <c r="MM16" s="251"/>
      <c r="MN16" s="251"/>
      <c r="MO16" s="251"/>
      <c r="MP16" s="251"/>
      <c r="MQ16" s="251"/>
      <c r="MR16" s="251"/>
      <c r="MS16" s="251"/>
      <c r="MT16" s="251"/>
      <c r="MU16" s="251"/>
      <c r="MV16" s="251"/>
      <c r="MW16" s="251"/>
      <c r="MX16" s="251"/>
      <c r="MY16" s="251"/>
      <c r="MZ16" s="251"/>
      <c r="NA16" s="251"/>
      <c r="NB16" s="251"/>
      <c r="NC16" s="251"/>
      <c r="ND16" s="251"/>
      <c r="NE16" s="251"/>
      <c r="NF16" s="251"/>
      <c r="NG16" s="251"/>
      <c r="NH16" s="251"/>
      <c r="NI16" s="251"/>
      <c r="NJ16" s="251"/>
      <c r="NK16" s="251"/>
      <c r="NL16" s="251"/>
      <c r="NM16" s="251"/>
      <c r="NN16" s="251"/>
      <c r="NO16" s="251"/>
      <c r="NP16" s="251"/>
      <c r="NQ16" s="251"/>
      <c r="NR16" s="251"/>
      <c r="NS16" s="251"/>
      <c r="NT16" s="251"/>
      <c r="NU16" s="251"/>
      <c r="NV16" s="251"/>
      <c r="NW16" s="251"/>
      <c r="NX16" s="251"/>
      <c r="NY16" s="251"/>
      <c r="NZ16" s="251"/>
      <c r="OA16" s="251"/>
      <c r="OB16" s="251"/>
      <c r="OC16" s="251"/>
      <c r="OD16" s="251"/>
      <c r="OE16" s="251"/>
      <c r="OF16" s="251"/>
      <c r="OG16" s="251"/>
      <c r="OH16" s="251"/>
      <c r="OI16" s="251"/>
      <c r="OJ16" s="251"/>
      <c r="OK16" s="251"/>
      <c r="OL16" s="251"/>
      <c r="OM16" s="251"/>
      <c r="ON16" s="251"/>
      <c r="OO16" s="251"/>
      <c r="OP16" s="251"/>
      <c r="OQ16" s="251"/>
      <c r="OR16" s="251"/>
      <c r="OS16" s="251"/>
      <c r="OT16" s="251"/>
      <c r="OU16" s="251"/>
      <c r="OV16" s="251"/>
      <c r="OW16" s="251"/>
      <c r="OX16" s="251"/>
      <c r="OY16" s="251"/>
      <c r="OZ16" s="251"/>
      <c r="PA16" s="251"/>
      <c r="PB16" s="251"/>
      <c r="PC16" s="251"/>
      <c r="PD16" s="251"/>
      <c r="PE16" s="251"/>
      <c r="PF16" s="251"/>
      <c r="PG16" s="251"/>
      <c r="PH16" s="251"/>
      <c r="PI16" s="251"/>
      <c r="PJ16" s="251"/>
      <c r="PK16" s="251"/>
      <c r="PL16" s="251"/>
      <c r="PM16" s="251"/>
      <c r="PN16" s="251"/>
      <c r="PO16" s="251"/>
      <c r="PP16" s="251"/>
      <c r="PQ16" s="251"/>
      <c r="PR16" s="251"/>
      <c r="PS16" s="251"/>
      <c r="PT16" s="251"/>
      <c r="PU16" s="251"/>
      <c r="PV16" s="251"/>
      <c r="PW16" s="251"/>
      <c r="PX16" s="251"/>
      <c r="PY16" s="251"/>
      <c r="PZ16" s="251"/>
      <c r="QA16" s="251"/>
      <c r="QB16" s="251"/>
      <c r="QC16" s="251"/>
      <c r="QD16" s="251"/>
      <c r="QE16" s="251"/>
      <c r="QF16" s="251"/>
      <c r="QG16" s="251"/>
      <c r="QH16" s="251"/>
      <c r="QI16" s="251"/>
      <c r="QJ16" s="251"/>
      <c r="QK16" s="251"/>
      <c r="QL16" s="251"/>
      <c r="QM16" s="251"/>
      <c r="QN16" s="251"/>
      <c r="QO16" s="251"/>
      <c r="QP16" s="251"/>
      <c r="QQ16" s="251"/>
      <c r="QR16" s="251"/>
      <c r="QS16" s="251"/>
      <c r="QT16" s="251"/>
      <c r="QU16" s="251"/>
      <c r="QV16" s="251"/>
      <c r="QW16" s="251"/>
      <c r="QX16" s="251"/>
      <c r="QY16" s="251"/>
      <c r="QZ16" s="251"/>
      <c r="RA16" s="251"/>
      <c r="RB16" s="251"/>
      <c r="RC16" s="251"/>
      <c r="RD16" s="251"/>
      <c r="RE16" s="251"/>
      <c r="RF16" s="251"/>
      <c r="RG16" s="251"/>
      <c r="RH16" s="251"/>
      <c r="RI16" s="251"/>
      <c r="RJ16" s="251"/>
      <c r="RK16" s="251"/>
      <c r="RL16" s="251"/>
      <c r="RM16" s="251"/>
      <c r="RN16" s="251"/>
      <c r="RO16" s="251"/>
      <c r="RP16" s="251"/>
      <c r="RQ16" s="251"/>
      <c r="RR16" s="251"/>
      <c r="RS16" s="251"/>
      <c r="RT16" s="251"/>
      <c r="RU16" s="251"/>
      <c r="RV16" s="251"/>
      <c r="RW16" s="251"/>
      <c r="RX16" s="251"/>
      <c r="RY16" s="251"/>
      <c r="RZ16" s="251"/>
      <c r="SA16" s="251"/>
      <c r="SB16" s="251"/>
      <c r="SC16" s="251"/>
      <c r="SD16" s="251"/>
      <c r="SE16" s="251"/>
      <c r="SF16" s="251"/>
      <c r="SG16" s="251"/>
      <c r="SH16" s="251"/>
      <c r="SI16" s="251"/>
      <c r="SJ16" s="251"/>
      <c r="SK16" s="251"/>
      <c r="SL16" s="251"/>
      <c r="SM16" s="251"/>
      <c r="SN16" s="251"/>
      <c r="SO16" s="251"/>
      <c r="SP16" s="251"/>
      <c r="SQ16" s="251"/>
      <c r="SR16" s="251"/>
      <c r="SS16" s="251"/>
      <c r="ST16" s="251"/>
      <c r="SU16" s="251"/>
      <c r="SV16" s="251"/>
      <c r="SW16" s="251"/>
      <c r="SX16" s="251"/>
      <c r="SY16" s="251"/>
      <c r="SZ16" s="251"/>
      <c r="TA16" s="251"/>
      <c r="TB16" s="251"/>
      <c r="TC16" s="251"/>
      <c r="TD16" s="251"/>
      <c r="TE16" s="251"/>
      <c r="TF16" s="251"/>
      <c r="TG16" s="251"/>
      <c r="TH16" s="251"/>
      <c r="TI16" s="251"/>
      <c r="TJ16" s="251"/>
      <c r="TK16" s="251"/>
      <c r="TL16" s="251"/>
      <c r="TM16" s="251"/>
      <c r="TN16" s="251"/>
      <c r="TO16" s="251"/>
      <c r="TP16" s="251"/>
      <c r="TQ16" s="251"/>
      <c r="TR16" s="251"/>
      <c r="TS16" s="251"/>
      <c r="TT16" s="251"/>
      <c r="TU16" s="251"/>
      <c r="TV16" s="251"/>
      <c r="TW16" s="251"/>
      <c r="TX16" s="251"/>
      <c r="TY16" s="251"/>
      <c r="TZ16" s="251"/>
      <c r="UA16" s="251"/>
      <c r="UB16" s="251"/>
      <c r="UC16" s="251"/>
      <c r="UD16" s="251"/>
      <c r="UE16" s="251"/>
      <c r="UF16" s="251"/>
      <c r="UG16" s="251"/>
      <c r="UH16" s="251"/>
      <c r="UI16" s="251"/>
      <c r="UJ16" s="251"/>
      <c r="UK16" s="251"/>
      <c r="UL16" s="251"/>
      <c r="UM16" s="251"/>
      <c r="UN16" s="251"/>
      <c r="UO16" s="251"/>
      <c r="UP16" s="251"/>
      <c r="UQ16" s="251"/>
      <c r="UR16" s="251"/>
      <c r="US16" s="251"/>
      <c r="UT16" s="251"/>
      <c r="UU16" s="251"/>
      <c r="UV16" s="251"/>
      <c r="UW16" s="251"/>
      <c r="UX16" s="251"/>
      <c r="UY16" s="251"/>
      <c r="UZ16" s="251"/>
      <c r="VA16" s="251"/>
      <c r="VB16" s="251"/>
      <c r="VC16" s="251"/>
      <c r="VD16" s="251"/>
      <c r="VE16" s="251"/>
      <c r="VF16" s="251"/>
      <c r="VG16" s="251"/>
      <c r="VH16" s="251"/>
      <c r="VI16" s="251"/>
      <c r="VJ16" s="251"/>
      <c r="VK16" s="251"/>
      <c r="VL16" s="251"/>
      <c r="VM16" s="251"/>
      <c r="VN16" s="251"/>
      <c r="VO16" s="251"/>
      <c r="VP16" s="251"/>
      <c r="VQ16" s="251"/>
      <c r="VR16" s="251"/>
      <c r="VS16" s="251"/>
      <c r="VT16" s="251"/>
      <c r="VU16" s="251"/>
      <c r="VV16" s="251"/>
      <c r="VW16" s="251"/>
      <c r="VX16" s="251"/>
      <c r="VY16" s="251"/>
      <c r="VZ16" s="251"/>
      <c r="WA16" s="251"/>
      <c r="WB16" s="251"/>
      <c r="WC16" s="251"/>
      <c r="WD16" s="251"/>
      <c r="WE16" s="251"/>
      <c r="WF16" s="251"/>
      <c r="WG16" s="251"/>
      <c r="WH16" s="251"/>
      <c r="WI16" s="251"/>
      <c r="WJ16" s="251"/>
      <c r="WK16" s="251"/>
      <c r="WL16" s="251"/>
      <c r="WM16" s="251"/>
      <c r="WN16" s="251"/>
      <c r="WO16" s="251"/>
      <c r="WP16" s="251"/>
      <c r="WQ16" s="251"/>
      <c r="WR16" s="251"/>
      <c r="WS16" s="251"/>
      <c r="WT16" s="251"/>
      <c r="WU16" s="251"/>
      <c r="WV16" s="251"/>
      <c r="WW16" s="251"/>
      <c r="WX16" s="251"/>
      <c r="WY16" s="251"/>
      <c r="WZ16" s="251"/>
      <c r="XA16" s="251"/>
      <c r="XB16" s="251"/>
      <c r="XC16" s="251"/>
      <c r="XD16" s="251"/>
      <c r="XE16" s="251"/>
      <c r="XF16" s="251"/>
      <c r="XG16" s="251"/>
      <c r="XH16" s="251"/>
      <c r="XI16" s="251"/>
      <c r="XJ16" s="251"/>
      <c r="XK16" s="251"/>
      <c r="XL16" s="251"/>
      <c r="XM16" s="251"/>
      <c r="XN16" s="251"/>
      <c r="XO16" s="251"/>
      <c r="XP16" s="251"/>
      <c r="XQ16" s="251"/>
      <c r="XR16" s="251"/>
      <c r="XS16" s="251"/>
      <c r="XT16" s="251"/>
      <c r="XU16" s="251"/>
      <c r="XV16" s="251"/>
      <c r="XW16" s="251"/>
      <c r="XX16" s="251"/>
      <c r="XY16" s="251"/>
      <c r="XZ16" s="251"/>
      <c r="YA16" s="251"/>
      <c r="YB16" s="251"/>
      <c r="YC16" s="251"/>
      <c r="YD16" s="251"/>
      <c r="YE16" s="251"/>
      <c r="YF16" s="251"/>
      <c r="YG16" s="251"/>
      <c r="YH16" s="251"/>
      <c r="YI16" s="251"/>
      <c r="YJ16" s="251"/>
      <c r="YK16" s="251"/>
      <c r="YL16" s="251"/>
      <c r="YM16" s="251"/>
      <c r="YN16" s="251"/>
      <c r="YO16" s="251"/>
      <c r="YP16" s="251"/>
      <c r="YQ16" s="251"/>
      <c r="YR16" s="251"/>
      <c r="YS16" s="251"/>
      <c r="YT16" s="251"/>
      <c r="YU16" s="251"/>
      <c r="YV16" s="251"/>
      <c r="YW16" s="251"/>
      <c r="YX16" s="251"/>
      <c r="YY16" s="251"/>
      <c r="YZ16" s="251"/>
      <c r="ZA16" s="251"/>
      <c r="ZB16" s="251"/>
      <c r="ZC16" s="251"/>
      <c r="ZD16" s="251"/>
      <c r="ZE16" s="251"/>
      <c r="ZF16" s="251"/>
      <c r="ZG16" s="251"/>
      <c r="ZH16" s="251"/>
      <c r="ZI16" s="251"/>
      <c r="ZJ16" s="251"/>
      <c r="ZK16" s="251"/>
      <c r="ZL16" s="251"/>
      <c r="ZM16" s="251"/>
      <c r="ZN16" s="251"/>
      <c r="ZO16" s="251"/>
      <c r="ZP16" s="251"/>
      <c r="ZQ16" s="251"/>
      <c r="ZR16" s="251"/>
      <c r="ZS16" s="251"/>
      <c r="ZT16" s="251"/>
      <c r="ZU16" s="251"/>
      <c r="ZV16" s="251"/>
      <c r="ZW16" s="251"/>
      <c r="ZX16" s="251"/>
      <c r="ZY16" s="251"/>
      <c r="ZZ16" s="251"/>
      <c r="AAA16" s="251"/>
      <c r="AAB16" s="251"/>
      <c r="AAC16" s="251"/>
      <c r="AAD16" s="251"/>
      <c r="AAE16" s="251"/>
      <c r="AAF16" s="251"/>
      <c r="AAG16" s="251"/>
      <c r="AAH16" s="251"/>
      <c r="AAI16" s="251"/>
      <c r="AAJ16" s="251"/>
      <c r="AAK16" s="251"/>
      <c r="AAL16" s="251"/>
      <c r="AAM16" s="251"/>
      <c r="AAN16" s="251"/>
      <c r="AAO16" s="251"/>
      <c r="AAP16" s="251"/>
      <c r="AAQ16" s="251"/>
      <c r="AAR16" s="251"/>
      <c r="AAS16" s="251"/>
      <c r="AAT16" s="251"/>
      <c r="AAU16" s="251"/>
      <c r="AAV16" s="251"/>
      <c r="AAW16" s="251"/>
      <c r="AAX16" s="251"/>
      <c r="AAY16" s="251"/>
      <c r="AAZ16" s="251"/>
      <c r="ABA16" s="251"/>
      <c r="ABB16" s="251"/>
      <c r="ABC16" s="251"/>
      <c r="ABD16" s="251"/>
      <c r="ABE16" s="251"/>
      <c r="ABF16" s="251"/>
      <c r="ABG16" s="251"/>
      <c r="ABH16" s="251"/>
      <c r="ABI16" s="251"/>
      <c r="ABJ16" s="251"/>
      <c r="ABK16" s="251"/>
      <c r="ABL16" s="251"/>
      <c r="ABM16" s="251"/>
      <c r="ABN16" s="251"/>
      <c r="ABO16" s="251"/>
      <c r="ABP16" s="251"/>
      <c r="ABQ16" s="251"/>
      <c r="ABR16" s="251"/>
      <c r="ABS16" s="251"/>
      <c r="ABT16" s="251"/>
      <c r="ABU16" s="251"/>
      <c r="ABV16" s="251"/>
      <c r="ABW16" s="251"/>
      <c r="ABX16" s="251"/>
      <c r="ABY16" s="251"/>
      <c r="ABZ16" s="251"/>
      <c r="ACA16" s="251"/>
      <c r="ACB16" s="251"/>
      <c r="ACC16" s="251"/>
      <c r="ACD16" s="251"/>
      <c r="ACE16" s="251"/>
      <c r="ACF16" s="251"/>
      <c r="ACG16" s="251"/>
      <c r="ACH16" s="251"/>
      <c r="ACI16" s="251"/>
      <c r="ACJ16" s="251"/>
      <c r="ACK16" s="251"/>
      <c r="ACL16" s="251"/>
      <c r="ACM16" s="251"/>
      <c r="ACN16" s="251"/>
      <c r="ACO16" s="251"/>
      <c r="ACP16" s="251"/>
      <c r="ACQ16" s="251"/>
      <c r="ACR16" s="251"/>
      <c r="ACS16" s="251"/>
      <c r="ACT16" s="251"/>
      <c r="ACU16" s="251"/>
      <c r="ACV16" s="251"/>
      <c r="ACW16" s="251"/>
      <c r="ACX16" s="251"/>
      <c r="ACY16" s="251"/>
      <c r="ACZ16" s="251"/>
      <c r="ADA16" s="251"/>
      <c r="ADB16" s="251"/>
      <c r="ADC16" s="251"/>
      <c r="ADD16" s="251"/>
      <c r="ADE16" s="251"/>
      <c r="ADF16" s="251"/>
      <c r="ADG16" s="251"/>
      <c r="ADH16" s="251"/>
      <c r="ADI16" s="251"/>
      <c r="ADJ16" s="251"/>
      <c r="ADK16" s="251"/>
      <c r="ADL16" s="251"/>
      <c r="ADM16" s="251"/>
      <c r="ADN16" s="251"/>
      <c r="ADO16" s="251"/>
      <c r="ADP16" s="251"/>
      <c r="ADQ16" s="251"/>
      <c r="ADR16" s="251"/>
      <c r="ADS16" s="251"/>
      <c r="ADT16" s="251"/>
      <c r="ADU16" s="251"/>
      <c r="ADV16" s="251"/>
      <c r="ADW16" s="251"/>
      <c r="ADX16" s="251"/>
      <c r="ADY16" s="251"/>
      <c r="ADZ16" s="251"/>
      <c r="AEA16" s="251"/>
      <c r="AEB16" s="251"/>
      <c r="AEC16" s="251"/>
      <c r="AED16" s="251"/>
      <c r="AEE16" s="251"/>
      <c r="AEF16" s="251"/>
      <c r="AEG16" s="251"/>
      <c r="AEH16" s="251"/>
      <c r="AEI16" s="251"/>
      <c r="AEJ16" s="251"/>
      <c r="AEK16" s="251"/>
      <c r="AEL16" s="251"/>
      <c r="AEM16" s="251"/>
      <c r="AEN16" s="251"/>
      <c r="AEO16" s="251"/>
      <c r="AEP16" s="251"/>
      <c r="AEQ16" s="251"/>
      <c r="AER16" s="251"/>
      <c r="AES16" s="251"/>
      <c r="AET16" s="251"/>
      <c r="AEU16" s="251"/>
      <c r="AEV16" s="251"/>
      <c r="AEW16" s="251"/>
      <c r="AEX16" s="251"/>
      <c r="AEY16" s="251"/>
      <c r="AEZ16" s="251"/>
      <c r="AFA16" s="251"/>
      <c r="AFB16" s="251"/>
      <c r="AFC16" s="251"/>
      <c r="AFD16" s="251"/>
      <c r="AFE16" s="251"/>
      <c r="AFF16" s="251"/>
      <c r="AFG16" s="251"/>
      <c r="AFH16" s="251"/>
      <c r="AFI16" s="251"/>
      <c r="AFJ16" s="251"/>
      <c r="AFK16" s="251"/>
      <c r="AFL16" s="251"/>
      <c r="AFM16" s="251"/>
      <c r="AFN16" s="251"/>
      <c r="AFO16" s="251"/>
      <c r="AFP16" s="251"/>
      <c r="AFQ16" s="251"/>
      <c r="AFR16" s="251"/>
      <c r="AFS16" s="251"/>
      <c r="AFT16" s="251"/>
      <c r="AFU16" s="251"/>
      <c r="AFV16" s="251"/>
      <c r="AFW16" s="251"/>
      <c r="AFX16" s="251"/>
      <c r="AFY16" s="251"/>
      <c r="AFZ16" s="251"/>
      <c r="AGA16" s="251"/>
      <c r="AGB16" s="251"/>
      <c r="AGC16" s="251"/>
      <c r="AGD16" s="251"/>
      <c r="AGE16" s="251"/>
      <c r="AGF16" s="251"/>
      <c r="AGG16" s="251"/>
      <c r="AGH16" s="251"/>
      <c r="AGI16" s="251"/>
      <c r="AGJ16" s="251"/>
      <c r="AGK16" s="251"/>
      <c r="AGL16" s="251"/>
      <c r="AGM16" s="251"/>
      <c r="AGN16" s="251"/>
      <c r="AGO16" s="251"/>
      <c r="AGP16" s="251"/>
      <c r="AGQ16" s="251"/>
      <c r="AGR16" s="251"/>
      <c r="AGS16" s="251"/>
      <c r="AGT16" s="251"/>
      <c r="AGU16" s="251"/>
      <c r="AGV16" s="251"/>
      <c r="AGW16" s="251"/>
      <c r="AGX16" s="251"/>
      <c r="AGY16" s="251"/>
      <c r="AGZ16" s="251"/>
      <c r="AHA16" s="251"/>
      <c r="AHB16" s="251"/>
      <c r="AHC16" s="251"/>
      <c r="AHD16" s="251"/>
      <c r="AHE16" s="251"/>
      <c r="AHF16" s="251"/>
      <c r="AHG16" s="251"/>
      <c r="AHH16" s="251"/>
      <c r="AHI16" s="251"/>
      <c r="AHJ16" s="251"/>
      <c r="AHK16" s="251"/>
      <c r="AHL16" s="251"/>
      <c r="AHM16" s="251"/>
      <c r="AHN16" s="251"/>
      <c r="AHO16" s="251"/>
      <c r="AHP16" s="251"/>
      <c r="AHQ16" s="251"/>
      <c r="AHR16" s="251"/>
      <c r="AHS16" s="251"/>
      <c r="AHT16" s="251"/>
      <c r="AHU16" s="251"/>
      <c r="AHV16" s="251"/>
      <c r="AHW16" s="251"/>
      <c r="AHX16" s="251"/>
      <c r="AHY16" s="251"/>
      <c r="AHZ16" s="251"/>
      <c r="AIA16" s="251"/>
      <c r="AIB16" s="251"/>
      <c r="AIC16" s="251"/>
      <c r="AID16" s="251"/>
      <c r="AIE16" s="251"/>
      <c r="AIF16" s="251"/>
      <c r="AIG16" s="251"/>
      <c r="AIH16" s="251"/>
      <c r="AII16" s="251"/>
      <c r="AIJ16" s="251"/>
      <c r="AIK16" s="251"/>
      <c r="AIL16" s="251"/>
      <c r="AIM16" s="251"/>
      <c r="AIN16" s="251"/>
      <c r="AIO16" s="251"/>
      <c r="AIP16" s="251"/>
      <c r="AIQ16" s="251"/>
      <c r="AIR16" s="251"/>
      <c r="AIS16" s="251"/>
      <c r="AIT16" s="251"/>
      <c r="AIU16" s="251"/>
      <c r="AIV16" s="251"/>
      <c r="AIW16" s="251"/>
      <c r="AIX16" s="251"/>
      <c r="AIY16" s="251"/>
      <c r="AIZ16" s="251"/>
      <c r="AJA16" s="251"/>
      <c r="AJB16" s="251"/>
      <c r="AJC16" s="251"/>
      <c r="AJD16" s="251"/>
      <c r="AJE16" s="251"/>
      <c r="AJF16" s="251"/>
      <c r="AJG16" s="251"/>
      <c r="AJH16" s="251"/>
      <c r="AJI16" s="251"/>
      <c r="AJJ16" s="251"/>
      <c r="AJK16" s="251"/>
      <c r="AJL16" s="251"/>
      <c r="AJM16" s="251"/>
      <c r="AJN16" s="251"/>
      <c r="AJO16" s="251"/>
      <c r="AJP16" s="251"/>
      <c r="AJQ16" s="251"/>
      <c r="AJR16" s="251"/>
      <c r="AJS16" s="251"/>
      <c r="AJT16" s="251"/>
      <c r="AJU16" s="251"/>
      <c r="AJV16" s="251"/>
      <c r="AJW16" s="251"/>
      <c r="AJX16" s="251"/>
      <c r="AJY16" s="251"/>
      <c r="AJZ16" s="251"/>
      <c r="AKA16" s="251"/>
      <c r="AKB16" s="251"/>
      <c r="AKC16" s="251"/>
      <c r="AKD16" s="251"/>
      <c r="AKE16" s="251"/>
      <c r="AKF16" s="251"/>
      <c r="AKG16" s="251"/>
      <c r="AKH16" s="251"/>
      <c r="AKI16" s="251"/>
      <c r="AKJ16" s="251"/>
      <c r="AKK16" s="251"/>
      <c r="AKL16" s="251"/>
      <c r="AKM16" s="251"/>
      <c r="AKN16" s="251"/>
      <c r="AKO16" s="251"/>
      <c r="AKP16" s="251"/>
      <c r="AKQ16" s="251"/>
      <c r="AKR16" s="251"/>
      <c r="AKS16" s="251"/>
      <c r="AKT16" s="251"/>
      <c r="AKU16" s="251"/>
      <c r="AKV16" s="251"/>
      <c r="AKW16" s="251"/>
      <c r="AKX16" s="251"/>
      <c r="AKY16" s="251"/>
      <c r="AKZ16" s="251"/>
      <c r="ALA16" s="251"/>
      <c r="ALB16" s="251"/>
      <c r="ALC16" s="251"/>
      <c r="ALD16" s="251"/>
      <c r="ALE16" s="251"/>
      <c r="ALF16" s="251"/>
      <c r="ALG16" s="251"/>
      <c r="ALH16" s="251"/>
      <c r="ALI16" s="251"/>
      <c r="ALJ16" s="251"/>
      <c r="ALK16" s="251"/>
      <c r="ALL16" s="251"/>
      <c r="ALM16" s="251"/>
      <c r="ALN16" s="251"/>
      <c r="ALO16" s="251"/>
      <c r="ALP16" s="251"/>
      <c r="ALQ16" s="251"/>
      <c r="ALR16" s="251"/>
      <c r="ALS16" s="251"/>
      <c r="ALT16" s="251"/>
      <c r="ALU16" s="251"/>
      <c r="ALV16" s="251"/>
      <c r="ALW16" s="251"/>
      <c r="ALX16" s="251"/>
      <c r="ALY16" s="251"/>
      <c r="ALZ16" s="251"/>
      <c r="AMA16" s="251"/>
      <c r="AMB16" s="251"/>
      <c r="AMC16" s="251"/>
      <c r="AMD16" s="251"/>
      <c r="AME16" s="251"/>
      <c r="AMF16" s="251"/>
      <c r="AMG16" s="251"/>
      <c r="AMH16" s="251"/>
      <c r="AMI16" s="251"/>
      <c r="AMJ16" s="251"/>
      <c r="AMK16" s="251"/>
      <c r="AML16" s="251"/>
      <c r="AMM16" s="251"/>
      <c r="AMN16" s="251"/>
      <c r="AMO16" s="251"/>
      <c r="AMP16" s="251"/>
      <c r="AMQ16" s="251"/>
      <c r="AMR16" s="251"/>
      <c r="AMS16" s="251"/>
      <c r="AMT16" s="251"/>
      <c r="AMU16" s="251"/>
      <c r="AMV16" s="251"/>
      <c r="AMW16" s="251"/>
      <c r="AMX16" s="251"/>
      <c r="AMY16" s="251"/>
      <c r="AMZ16" s="251"/>
      <c r="ANA16" s="251"/>
      <c r="ANB16" s="251"/>
      <c r="ANC16" s="251"/>
      <c r="AND16" s="251"/>
      <c r="ANE16" s="251"/>
      <c r="ANF16" s="251"/>
      <c r="ANG16" s="251"/>
      <c r="ANH16" s="251"/>
      <c r="ANI16" s="251"/>
      <c r="ANJ16" s="251"/>
      <c r="ANK16" s="251"/>
      <c r="ANL16" s="251"/>
      <c r="ANM16" s="251"/>
      <c r="ANN16" s="251"/>
      <c r="ANO16" s="251"/>
      <c r="ANP16" s="251"/>
      <c r="ANQ16" s="251"/>
      <c r="ANR16" s="251"/>
      <c r="ANS16" s="251"/>
      <c r="ANT16" s="251"/>
      <c r="ANU16" s="251"/>
      <c r="ANV16" s="251"/>
      <c r="ANW16" s="251"/>
      <c r="ANX16" s="251"/>
      <c r="ANY16" s="251"/>
      <c r="ANZ16" s="251"/>
      <c r="AOA16" s="251"/>
      <c r="AOB16" s="251"/>
      <c r="AOC16" s="251"/>
      <c r="AOD16" s="251"/>
      <c r="AOE16" s="251"/>
      <c r="AOF16" s="251"/>
      <c r="AOG16" s="251"/>
      <c r="AOH16" s="251"/>
      <c r="AOI16" s="251"/>
      <c r="AOJ16" s="251"/>
      <c r="AOK16" s="251"/>
      <c r="AOL16" s="251"/>
      <c r="AOM16" s="251"/>
      <c r="AON16" s="251"/>
      <c r="AOO16" s="251"/>
      <c r="AOP16" s="251"/>
      <c r="AOQ16" s="251"/>
      <c r="AOR16" s="251"/>
      <c r="AOS16" s="251"/>
      <c r="AOT16" s="251"/>
      <c r="AOU16" s="251"/>
      <c r="AOV16" s="251"/>
      <c r="AOW16" s="251"/>
      <c r="AOX16" s="251"/>
      <c r="AOY16" s="251"/>
      <c r="AOZ16" s="251"/>
      <c r="APA16" s="251"/>
      <c r="APB16" s="251"/>
      <c r="APC16" s="251"/>
      <c r="APD16" s="251"/>
      <c r="APE16" s="251"/>
      <c r="APF16" s="251"/>
      <c r="APG16" s="251"/>
      <c r="APH16" s="251"/>
      <c r="API16" s="251"/>
      <c r="APJ16" s="251"/>
      <c r="APK16" s="251"/>
      <c r="APL16" s="251"/>
      <c r="APM16" s="251"/>
      <c r="APN16" s="251"/>
      <c r="APO16" s="251"/>
      <c r="APP16" s="251"/>
      <c r="APQ16" s="251"/>
      <c r="APR16" s="251"/>
      <c r="APS16" s="251"/>
      <c r="APT16" s="251"/>
      <c r="APU16" s="251"/>
      <c r="APV16" s="251"/>
      <c r="APW16" s="251"/>
      <c r="APX16" s="251"/>
      <c r="APY16" s="251"/>
      <c r="APZ16" s="251"/>
      <c r="AQA16" s="251"/>
      <c r="AQB16" s="251"/>
      <c r="AQC16" s="251"/>
      <c r="AQD16" s="251"/>
      <c r="AQE16" s="251"/>
      <c r="AQF16" s="251"/>
      <c r="AQG16" s="251"/>
      <c r="AQH16" s="251"/>
      <c r="AQI16" s="251"/>
      <c r="AQJ16" s="251"/>
      <c r="AQK16" s="251"/>
      <c r="AQL16" s="251"/>
      <c r="AQM16" s="251"/>
      <c r="AQN16" s="251"/>
      <c r="AQO16" s="251"/>
      <c r="AQP16" s="251"/>
      <c r="AQQ16" s="251"/>
      <c r="AQR16" s="251"/>
      <c r="AQS16" s="251"/>
      <c r="AQT16" s="251"/>
      <c r="AQU16" s="251"/>
      <c r="AQV16" s="251"/>
      <c r="AQW16" s="251"/>
      <c r="AQX16" s="251"/>
      <c r="AQY16" s="251"/>
      <c r="AQZ16" s="251"/>
      <c r="ARA16" s="251"/>
      <c r="ARB16" s="251"/>
      <c r="ARC16" s="251"/>
      <c r="ARD16" s="251"/>
      <c r="ARE16" s="251"/>
      <c r="ARF16" s="251"/>
      <c r="ARG16" s="251"/>
      <c r="ARH16" s="251"/>
      <c r="ARI16" s="251"/>
      <c r="ARJ16" s="251"/>
      <c r="ARK16" s="251"/>
      <c r="ARL16" s="251"/>
      <c r="ARM16" s="251"/>
      <c r="ARN16" s="251"/>
      <c r="ARO16" s="251"/>
      <c r="ARP16" s="251"/>
      <c r="ARQ16" s="251"/>
      <c r="ARR16" s="251"/>
      <c r="ARS16" s="251"/>
      <c r="ART16" s="251"/>
      <c r="ARU16" s="251"/>
      <c r="ARV16" s="251"/>
      <c r="ARW16" s="251"/>
      <c r="ARX16" s="251"/>
      <c r="ARY16" s="251"/>
      <c r="ARZ16" s="251"/>
      <c r="ASA16" s="251"/>
      <c r="ASB16" s="251"/>
      <c r="ASC16" s="251"/>
      <c r="ASD16" s="251"/>
      <c r="ASE16" s="251"/>
      <c r="ASF16" s="251"/>
      <c r="ASG16" s="251"/>
      <c r="ASH16" s="251"/>
      <c r="ASI16" s="251"/>
      <c r="ASJ16" s="251"/>
      <c r="ASK16" s="251"/>
      <c r="ASL16" s="251"/>
      <c r="ASM16" s="251"/>
      <c r="ASN16" s="251"/>
      <c r="ASO16" s="251"/>
      <c r="ASP16" s="251"/>
      <c r="ASQ16" s="251"/>
      <c r="ASR16" s="251"/>
      <c r="ASS16" s="251"/>
      <c r="AST16" s="251"/>
      <c r="ASU16" s="251"/>
      <c r="ASV16" s="251"/>
      <c r="ASW16" s="251"/>
      <c r="ASX16" s="251"/>
      <c r="ASY16" s="251"/>
      <c r="ASZ16" s="251"/>
      <c r="ATA16" s="251"/>
      <c r="ATB16" s="251"/>
      <c r="ATC16" s="251"/>
      <c r="ATD16" s="251"/>
      <c r="ATE16" s="251"/>
      <c r="ATF16" s="251"/>
      <c r="ATG16" s="251"/>
      <c r="ATH16" s="251"/>
      <c r="ATI16" s="251"/>
      <c r="ATJ16" s="251"/>
      <c r="ATK16" s="251"/>
      <c r="ATL16" s="251"/>
      <c r="ATM16" s="251"/>
      <c r="ATN16" s="251"/>
      <c r="ATO16" s="251"/>
      <c r="ATP16" s="251"/>
      <c r="ATQ16" s="251"/>
      <c r="ATR16" s="251"/>
      <c r="ATS16" s="251"/>
      <c r="ATT16" s="251"/>
      <c r="ATU16" s="251"/>
      <c r="ATV16" s="251"/>
      <c r="ATW16" s="251"/>
      <c r="ATX16" s="251"/>
      <c r="ATY16" s="251"/>
      <c r="ATZ16" s="251"/>
      <c r="AUA16" s="251"/>
      <c r="AUB16" s="251"/>
      <c r="AUC16" s="251"/>
      <c r="AUD16" s="251"/>
      <c r="AUE16" s="251"/>
      <c r="AUF16" s="251"/>
      <c r="AUG16" s="251"/>
      <c r="AUH16" s="251"/>
      <c r="AUI16" s="251"/>
      <c r="AUJ16" s="251"/>
      <c r="AUK16" s="251"/>
      <c r="AUL16" s="251"/>
      <c r="AUM16" s="251"/>
      <c r="AUN16" s="251"/>
      <c r="AUO16" s="251"/>
      <c r="AUP16" s="251"/>
      <c r="AUQ16" s="251"/>
      <c r="AUR16" s="251"/>
      <c r="AUS16" s="251"/>
      <c r="AUT16" s="251"/>
      <c r="AUU16" s="251"/>
      <c r="AUV16" s="251"/>
      <c r="AUW16" s="251"/>
      <c r="AUX16" s="251"/>
      <c r="AUY16" s="251"/>
      <c r="AUZ16" s="251"/>
      <c r="AVA16" s="251"/>
      <c r="AVB16" s="251"/>
      <c r="AVC16" s="251"/>
      <c r="AVD16" s="251"/>
      <c r="AVE16" s="251"/>
      <c r="AVF16" s="251"/>
      <c r="AVG16" s="251"/>
      <c r="AVH16" s="251"/>
      <c r="AVI16" s="251"/>
      <c r="AVJ16" s="251"/>
      <c r="AVK16" s="251"/>
      <c r="AVL16" s="251"/>
      <c r="AVM16" s="251"/>
      <c r="AVN16" s="251"/>
      <c r="AVO16" s="251"/>
      <c r="AVP16" s="251"/>
      <c r="AVQ16" s="251"/>
      <c r="AVR16" s="251"/>
      <c r="AVS16" s="251"/>
      <c r="AVT16" s="251"/>
      <c r="AVU16" s="251"/>
      <c r="AVV16" s="251"/>
      <c r="AVW16" s="251"/>
      <c r="AVX16" s="251"/>
      <c r="AVY16" s="251"/>
      <c r="AVZ16" s="251"/>
      <c r="AWA16" s="251"/>
      <c r="AWB16" s="251"/>
      <c r="AWC16" s="251"/>
      <c r="AWD16" s="251"/>
      <c r="AWE16" s="251"/>
      <c r="AWF16" s="251"/>
      <c r="AWG16" s="251"/>
      <c r="AWH16" s="251"/>
      <c r="AWI16" s="251"/>
      <c r="AWJ16" s="251"/>
      <c r="AWK16" s="251"/>
      <c r="AWL16" s="251"/>
      <c r="AWM16" s="251"/>
      <c r="AWN16" s="251"/>
      <c r="AWO16" s="251"/>
      <c r="AWP16" s="251"/>
      <c r="AWQ16" s="251"/>
      <c r="AWR16" s="251"/>
      <c r="AWS16" s="251"/>
      <c r="AWT16" s="251"/>
      <c r="AWU16" s="251"/>
      <c r="AWV16" s="251"/>
      <c r="AWW16" s="251"/>
      <c r="AWX16" s="251"/>
      <c r="AWY16" s="251"/>
      <c r="AWZ16" s="251"/>
      <c r="AXA16" s="251"/>
      <c r="AXB16" s="251"/>
      <c r="AXC16" s="251"/>
      <c r="AXD16" s="251"/>
      <c r="AXE16" s="251"/>
      <c r="AXF16" s="251"/>
      <c r="AXG16" s="251"/>
      <c r="AXH16" s="251"/>
      <c r="AXI16" s="251"/>
      <c r="AXJ16" s="251"/>
      <c r="AXK16" s="251"/>
      <c r="AXL16" s="251"/>
      <c r="AXM16" s="251"/>
      <c r="AXN16" s="251"/>
      <c r="AXO16" s="251"/>
      <c r="AXP16" s="251"/>
      <c r="AXQ16" s="251"/>
      <c r="AXR16" s="251"/>
      <c r="AXS16" s="251"/>
      <c r="AXT16" s="251"/>
      <c r="AXU16" s="251"/>
      <c r="AXV16" s="251"/>
      <c r="AXW16" s="251"/>
      <c r="AXX16" s="251"/>
      <c r="AXY16" s="251"/>
      <c r="AXZ16" s="251"/>
      <c r="AYA16" s="251"/>
      <c r="AYB16" s="251"/>
      <c r="AYC16" s="251"/>
      <c r="AYD16" s="251"/>
      <c r="AYE16" s="251"/>
      <c r="AYF16" s="251"/>
      <c r="AYG16" s="251"/>
      <c r="AYH16" s="251"/>
      <c r="AYI16" s="251"/>
      <c r="AYJ16" s="251"/>
      <c r="AYK16" s="251"/>
      <c r="AYL16" s="251"/>
      <c r="AYM16" s="251"/>
      <c r="AYN16" s="251"/>
      <c r="AYO16" s="251"/>
      <c r="AYP16" s="251"/>
      <c r="AYQ16" s="251"/>
      <c r="AYR16" s="251"/>
      <c r="AYS16" s="251"/>
      <c r="AYT16" s="251"/>
      <c r="AYU16" s="251"/>
      <c r="AYV16" s="251"/>
      <c r="AYW16" s="251"/>
      <c r="AYX16" s="251"/>
      <c r="AYY16" s="251"/>
      <c r="AYZ16" s="251"/>
      <c r="AZA16" s="251"/>
      <c r="AZB16" s="251"/>
      <c r="AZC16" s="251"/>
      <c r="AZD16" s="251"/>
      <c r="AZE16" s="251"/>
      <c r="AZF16" s="251"/>
      <c r="AZG16" s="251"/>
      <c r="AZH16" s="251"/>
      <c r="AZI16" s="251"/>
      <c r="AZJ16" s="251"/>
      <c r="AZK16" s="251"/>
      <c r="AZL16" s="251"/>
      <c r="AZM16" s="251"/>
      <c r="AZN16" s="251"/>
      <c r="AZO16" s="251"/>
      <c r="AZP16" s="251"/>
      <c r="AZQ16" s="251"/>
      <c r="AZR16" s="251"/>
      <c r="AZS16" s="251"/>
      <c r="AZT16" s="251"/>
      <c r="AZU16" s="251"/>
      <c r="AZV16" s="251"/>
      <c r="AZW16" s="251"/>
      <c r="AZX16" s="251"/>
      <c r="AZY16" s="251"/>
      <c r="AZZ16" s="251"/>
      <c r="BAA16" s="251"/>
      <c r="BAB16" s="251"/>
      <c r="BAC16" s="251"/>
      <c r="BAD16" s="251"/>
      <c r="BAE16" s="251"/>
      <c r="BAF16" s="251"/>
      <c r="BAG16" s="251"/>
      <c r="BAH16" s="251"/>
      <c r="BAI16" s="251"/>
      <c r="BAJ16" s="251"/>
      <c r="BAK16" s="251"/>
      <c r="BAL16" s="251"/>
      <c r="BAM16" s="251"/>
      <c r="BAN16" s="251"/>
      <c r="BAO16" s="251"/>
      <c r="BAP16" s="251"/>
      <c r="BAQ16" s="251"/>
      <c r="BAR16" s="251"/>
      <c r="BAS16" s="251"/>
      <c r="BAT16" s="251"/>
      <c r="BAU16" s="251"/>
      <c r="BAV16" s="251"/>
      <c r="BAW16" s="251"/>
      <c r="BAX16" s="251"/>
      <c r="BAY16" s="251"/>
      <c r="BAZ16" s="251"/>
      <c r="BBA16" s="251"/>
      <c r="BBB16" s="251"/>
      <c r="BBC16" s="251"/>
      <c r="BBD16" s="251"/>
      <c r="BBE16" s="251"/>
      <c r="BBF16" s="251"/>
      <c r="BBG16" s="251"/>
      <c r="BBH16" s="251"/>
      <c r="BBI16" s="251"/>
      <c r="BBJ16" s="251"/>
      <c r="BBK16" s="251"/>
      <c r="BBL16" s="251"/>
      <c r="BBM16" s="251"/>
      <c r="BBN16" s="251"/>
      <c r="BBO16" s="251"/>
      <c r="BBP16" s="251"/>
      <c r="BBQ16" s="251"/>
      <c r="BBR16" s="251"/>
      <c r="BBS16" s="251"/>
      <c r="BBT16" s="251"/>
      <c r="BBU16" s="251"/>
      <c r="BBV16" s="251"/>
      <c r="BBW16" s="251"/>
      <c r="BBX16" s="251"/>
      <c r="BBY16" s="251"/>
      <c r="BBZ16" s="251"/>
      <c r="BCA16" s="251"/>
      <c r="BCB16" s="251"/>
      <c r="BCC16" s="251"/>
      <c r="BCD16" s="251"/>
      <c r="BCE16" s="251"/>
      <c r="BCF16" s="251"/>
      <c r="BCG16" s="251"/>
      <c r="BCH16" s="251"/>
      <c r="BCI16" s="251"/>
      <c r="BCJ16" s="251"/>
      <c r="BCK16" s="251"/>
      <c r="BCL16" s="251"/>
      <c r="BCM16" s="251"/>
      <c r="BCN16" s="251"/>
      <c r="BCO16" s="251"/>
      <c r="BCP16" s="251"/>
      <c r="BCQ16" s="251"/>
      <c r="BCR16" s="251"/>
      <c r="BCS16" s="251"/>
      <c r="BCT16" s="251"/>
      <c r="BCU16" s="251"/>
      <c r="BCV16" s="251"/>
      <c r="BCW16" s="251"/>
      <c r="BCX16" s="251"/>
      <c r="BCY16" s="251"/>
      <c r="BCZ16" s="251"/>
      <c r="BDA16" s="251"/>
      <c r="BDB16" s="251"/>
      <c r="BDC16" s="251"/>
      <c r="BDD16" s="251"/>
      <c r="BDE16" s="251"/>
      <c r="BDF16" s="251"/>
      <c r="BDG16" s="251"/>
      <c r="BDH16" s="251"/>
      <c r="BDI16" s="251"/>
      <c r="BDJ16" s="251"/>
      <c r="BDK16" s="251"/>
      <c r="BDL16" s="251"/>
      <c r="BDM16" s="251"/>
      <c r="BDN16" s="251"/>
      <c r="BDO16" s="251"/>
      <c r="BDP16" s="251"/>
      <c r="BDQ16" s="251"/>
      <c r="BDR16" s="251"/>
      <c r="BDS16" s="251"/>
      <c r="BDT16" s="251"/>
      <c r="BDU16" s="251"/>
      <c r="BDV16" s="251"/>
      <c r="BDW16" s="251"/>
      <c r="BDX16" s="251"/>
      <c r="BDY16" s="251"/>
      <c r="BDZ16" s="251"/>
      <c r="BEA16" s="251"/>
      <c r="BEB16" s="251"/>
      <c r="BEC16" s="251"/>
      <c r="BED16" s="251"/>
      <c r="BEE16" s="251"/>
      <c r="BEF16" s="251"/>
      <c r="BEG16" s="251"/>
      <c r="BEH16" s="251"/>
      <c r="BEI16" s="251"/>
      <c r="BEJ16" s="251"/>
      <c r="BEK16" s="251"/>
      <c r="BEL16" s="251"/>
      <c r="BEM16" s="251"/>
      <c r="BEN16" s="251"/>
      <c r="BEO16" s="251"/>
      <c r="BEP16" s="251"/>
      <c r="BEQ16" s="251"/>
      <c r="BER16" s="251"/>
      <c r="BES16" s="251"/>
      <c r="BET16" s="251"/>
      <c r="BEU16" s="251"/>
      <c r="BEV16" s="251"/>
      <c r="BEW16" s="251"/>
      <c r="BEX16" s="251"/>
      <c r="BEY16" s="251"/>
      <c r="BEZ16" s="251"/>
      <c r="BFA16" s="251"/>
      <c r="BFB16" s="251"/>
      <c r="BFC16" s="251"/>
      <c r="BFD16" s="251"/>
      <c r="BFE16" s="251"/>
      <c r="BFF16" s="251"/>
      <c r="BFG16" s="251"/>
      <c r="BFH16" s="251"/>
      <c r="BFI16" s="251"/>
      <c r="BFJ16" s="251"/>
      <c r="BFK16" s="251"/>
      <c r="BFL16" s="251"/>
      <c r="BFM16" s="251"/>
      <c r="BFN16" s="251"/>
      <c r="BFO16" s="251"/>
      <c r="BFP16" s="251"/>
      <c r="BFQ16" s="251"/>
      <c r="BFR16" s="251"/>
      <c r="BFS16" s="251"/>
      <c r="BFT16" s="251"/>
      <c r="BFU16" s="251"/>
      <c r="BFV16" s="251"/>
      <c r="BFW16" s="251"/>
      <c r="BFX16" s="251"/>
      <c r="BFY16" s="251"/>
      <c r="BFZ16" s="251"/>
      <c r="BGA16" s="251"/>
      <c r="BGB16" s="251"/>
      <c r="BGC16" s="251"/>
      <c r="BGD16" s="251"/>
      <c r="BGE16" s="251"/>
      <c r="BGF16" s="251"/>
      <c r="BGG16" s="251"/>
      <c r="BGH16" s="251"/>
      <c r="BGI16" s="251"/>
      <c r="BGJ16" s="251"/>
      <c r="BGK16" s="251"/>
      <c r="BGL16" s="251"/>
      <c r="BGM16" s="251"/>
      <c r="BGN16" s="251"/>
      <c r="BGO16" s="251"/>
      <c r="BGP16" s="251"/>
      <c r="BGQ16" s="251"/>
      <c r="BGR16" s="251"/>
      <c r="BGS16" s="251"/>
      <c r="BGT16" s="251"/>
      <c r="BGU16" s="251"/>
      <c r="BGV16" s="251"/>
      <c r="BGW16" s="251"/>
      <c r="BGX16" s="251"/>
      <c r="BGY16" s="251"/>
      <c r="BGZ16" s="251"/>
      <c r="BHA16" s="251"/>
      <c r="BHB16" s="251"/>
      <c r="BHC16" s="251"/>
      <c r="BHD16" s="251"/>
      <c r="BHE16" s="251"/>
      <c r="BHF16" s="251"/>
      <c r="BHG16" s="251"/>
      <c r="BHH16" s="251"/>
      <c r="BHI16" s="251"/>
      <c r="BHJ16" s="251"/>
      <c r="BHK16" s="251"/>
      <c r="BHL16" s="251"/>
      <c r="BHM16" s="251"/>
      <c r="BHN16" s="251"/>
      <c r="BHO16" s="251"/>
      <c r="BHP16" s="251"/>
      <c r="BHQ16" s="251"/>
      <c r="BHR16" s="251"/>
      <c r="BHS16" s="251"/>
      <c r="BHT16" s="251"/>
      <c r="BHU16" s="251"/>
      <c r="BHV16" s="251"/>
      <c r="BHW16" s="251"/>
      <c r="BHX16" s="251"/>
      <c r="BHY16" s="251"/>
      <c r="BHZ16" s="251"/>
      <c r="BIA16" s="251"/>
      <c r="BIB16" s="251"/>
      <c r="BIC16" s="251"/>
      <c r="BID16" s="251"/>
      <c r="BIE16" s="251"/>
      <c r="BIF16" s="251"/>
      <c r="BIG16" s="251"/>
      <c r="BIH16" s="251"/>
      <c r="BII16" s="251"/>
      <c r="BIJ16" s="251"/>
      <c r="BIK16" s="251"/>
      <c r="BIL16" s="251"/>
      <c r="BIM16" s="251"/>
      <c r="BIN16" s="251"/>
      <c r="BIO16" s="251"/>
      <c r="BIP16" s="251"/>
      <c r="BIQ16" s="251"/>
      <c r="BIR16" s="251"/>
      <c r="BIS16" s="251"/>
      <c r="BIT16" s="251"/>
      <c r="BIU16" s="251"/>
      <c r="BIV16" s="251"/>
      <c r="BIW16" s="251"/>
      <c r="BIX16" s="251"/>
      <c r="BIY16" s="251"/>
      <c r="BIZ16" s="251"/>
      <c r="BJA16" s="251"/>
      <c r="BJB16" s="251"/>
      <c r="BJC16" s="251"/>
      <c r="BJD16" s="251"/>
      <c r="BJE16" s="251"/>
      <c r="BJF16" s="251"/>
      <c r="BJG16" s="251"/>
      <c r="BJH16" s="251"/>
      <c r="BJI16" s="251"/>
      <c r="BJJ16" s="251"/>
      <c r="BJK16" s="251"/>
      <c r="BJL16" s="251"/>
      <c r="BJM16" s="251"/>
      <c r="BJN16" s="251"/>
      <c r="BJO16" s="251"/>
      <c r="BJP16" s="251"/>
      <c r="BJQ16" s="251"/>
      <c r="BJR16" s="251"/>
      <c r="BJS16" s="251"/>
      <c r="BJT16" s="251"/>
      <c r="BJU16" s="251"/>
      <c r="BJV16" s="251"/>
      <c r="BJW16" s="251"/>
      <c r="BJX16" s="251"/>
      <c r="BJY16" s="251"/>
      <c r="BJZ16" s="251"/>
      <c r="BKA16" s="251"/>
      <c r="BKB16" s="251"/>
      <c r="BKC16" s="251"/>
      <c r="BKD16" s="251"/>
      <c r="BKE16" s="251"/>
      <c r="BKF16" s="251"/>
      <c r="BKG16" s="251"/>
      <c r="BKH16" s="251"/>
      <c r="BKI16" s="251"/>
      <c r="BKJ16" s="251"/>
      <c r="BKK16" s="251"/>
      <c r="BKL16" s="251"/>
      <c r="BKM16" s="251"/>
      <c r="BKN16" s="251"/>
      <c r="BKO16" s="251"/>
      <c r="BKP16" s="251"/>
      <c r="BKQ16" s="251"/>
      <c r="BKR16" s="251"/>
      <c r="BKS16" s="251"/>
      <c r="BKT16" s="251"/>
      <c r="BKU16" s="251"/>
      <c r="BKV16" s="251"/>
      <c r="BKW16" s="251"/>
      <c r="BKX16" s="251"/>
      <c r="BKY16" s="251"/>
      <c r="BKZ16" s="251"/>
      <c r="BLA16" s="251"/>
      <c r="BLB16" s="251"/>
      <c r="BLC16" s="251"/>
      <c r="BLD16" s="251"/>
      <c r="BLE16" s="251"/>
      <c r="BLF16" s="251"/>
      <c r="BLG16" s="251"/>
      <c r="BLH16" s="251"/>
      <c r="BLI16" s="251"/>
      <c r="BLJ16" s="251"/>
      <c r="BLK16" s="251"/>
      <c r="BLL16" s="251"/>
      <c r="BLM16" s="251"/>
      <c r="BLN16" s="251"/>
      <c r="BLO16" s="251"/>
      <c r="BLP16" s="251"/>
      <c r="BLQ16" s="251"/>
      <c r="BLR16" s="251"/>
      <c r="BLS16" s="251"/>
      <c r="BLT16" s="251"/>
      <c r="BLU16" s="251"/>
      <c r="BLV16" s="251"/>
      <c r="BLW16" s="251"/>
      <c r="BLX16" s="251"/>
      <c r="BLY16" s="251"/>
      <c r="BLZ16" s="251"/>
      <c r="BMA16" s="251"/>
      <c r="BMB16" s="251"/>
      <c r="BMC16" s="251"/>
      <c r="BMD16" s="251"/>
      <c r="BME16" s="251"/>
      <c r="BMF16" s="251"/>
      <c r="BMG16" s="251"/>
      <c r="BMH16" s="251"/>
      <c r="BMI16" s="251"/>
      <c r="BMJ16" s="251"/>
      <c r="BMK16" s="251"/>
      <c r="BML16" s="251"/>
      <c r="BMM16" s="251"/>
      <c r="BMN16" s="251"/>
      <c r="BMO16" s="251"/>
      <c r="BMP16" s="251"/>
      <c r="BMQ16" s="251"/>
      <c r="BMR16" s="251"/>
      <c r="BMS16" s="251"/>
      <c r="BMT16" s="251"/>
      <c r="BMU16" s="251"/>
      <c r="BMV16" s="251"/>
      <c r="BMW16" s="251"/>
      <c r="BMX16" s="251"/>
      <c r="BMY16" s="251"/>
      <c r="BMZ16" s="251"/>
      <c r="BNA16" s="251"/>
      <c r="BNB16" s="251"/>
      <c r="BNC16" s="251"/>
      <c r="BND16" s="251"/>
      <c r="BNE16" s="251"/>
      <c r="BNF16" s="251"/>
      <c r="BNG16" s="251"/>
      <c r="BNH16" s="251"/>
      <c r="BNI16" s="251"/>
      <c r="BNJ16" s="251"/>
      <c r="BNK16" s="251"/>
      <c r="BNL16" s="251"/>
      <c r="BNM16" s="251"/>
      <c r="BNN16" s="251"/>
      <c r="BNO16" s="251"/>
      <c r="BNP16" s="251"/>
      <c r="BNQ16" s="251"/>
      <c r="BNR16" s="251"/>
      <c r="BNS16" s="251"/>
      <c r="BNT16" s="251"/>
      <c r="BNU16" s="251"/>
      <c r="BNV16" s="251"/>
      <c r="BNW16" s="251"/>
      <c r="BNX16" s="251"/>
      <c r="BNY16" s="251"/>
      <c r="BNZ16" s="251"/>
      <c r="BOA16" s="251"/>
      <c r="BOB16" s="251"/>
      <c r="BOC16" s="251"/>
      <c r="BOD16" s="251"/>
      <c r="BOE16" s="251"/>
      <c r="BOF16" s="251"/>
      <c r="BOG16" s="251"/>
      <c r="BOH16" s="251"/>
      <c r="BOI16" s="251"/>
      <c r="BOJ16" s="251"/>
      <c r="BOK16" s="251"/>
      <c r="BOL16" s="251"/>
      <c r="BOM16" s="251"/>
      <c r="BON16" s="251"/>
      <c r="BOO16" s="251"/>
      <c r="BOP16" s="251"/>
      <c r="BOQ16" s="251"/>
      <c r="BOR16" s="251"/>
      <c r="BOS16" s="251"/>
      <c r="BOT16" s="251"/>
      <c r="BOU16" s="251"/>
      <c r="BOV16" s="251"/>
      <c r="BOW16" s="251"/>
      <c r="BOX16" s="251"/>
      <c r="BOY16" s="251"/>
      <c r="BOZ16" s="251"/>
      <c r="BPA16" s="251"/>
      <c r="BPB16" s="251"/>
      <c r="BPC16" s="251"/>
      <c r="BPD16" s="251"/>
      <c r="BPE16" s="251"/>
      <c r="BPF16" s="251"/>
      <c r="BPG16" s="251"/>
      <c r="BPH16" s="251"/>
      <c r="BPI16" s="251"/>
      <c r="BPJ16" s="251"/>
      <c r="BPK16" s="251"/>
      <c r="BPL16" s="251"/>
      <c r="BPM16" s="251"/>
      <c r="BPN16" s="251"/>
      <c r="BPO16" s="251"/>
      <c r="BPP16" s="251"/>
      <c r="BPQ16" s="251"/>
      <c r="BPR16" s="251"/>
      <c r="BPS16" s="251"/>
      <c r="BPT16" s="251"/>
      <c r="BPU16" s="251"/>
      <c r="BPV16" s="251"/>
      <c r="BPW16" s="251"/>
      <c r="BPX16" s="251"/>
      <c r="BPY16" s="251"/>
      <c r="BPZ16" s="251"/>
      <c r="BQA16" s="251"/>
      <c r="BQB16" s="251"/>
      <c r="BQC16" s="251"/>
      <c r="BQD16" s="251"/>
      <c r="BQE16" s="251"/>
      <c r="BQF16" s="251"/>
      <c r="BQG16" s="251"/>
      <c r="BQH16" s="251"/>
      <c r="BQI16" s="251"/>
      <c r="BQJ16" s="251"/>
      <c r="BQK16" s="251"/>
      <c r="BQL16" s="251"/>
      <c r="BQM16" s="251"/>
      <c r="BQN16" s="251"/>
      <c r="BQO16" s="251"/>
      <c r="BQP16" s="251"/>
      <c r="BQQ16" s="251"/>
      <c r="BQR16" s="251"/>
      <c r="BQS16" s="251"/>
      <c r="BQT16" s="251"/>
      <c r="BQU16" s="251"/>
      <c r="BQV16" s="251"/>
      <c r="BQW16" s="251"/>
      <c r="BQX16" s="251"/>
      <c r="BQY16" s="251"/>
      <c r="BQZ16" s="251"/>
      <c r="BRA16" s="251"/>
      <c r="BRB16" s="251"/>
      <c r="BRC16" s="251"/>
      <c r="BRD16" s="251"/>
      <c r="BRE16" s="251"/>
      <c r="BRF16" s="251"/>
      <c r="BRG16" s="251"/>
      <c r="BRH16" s="251"/>
      <c r="BRI16" s="251"/>
      <c r="BRJ16" s="251"/>
      <c r="BRK16" s="251"/>
      <c r="BRL16" s="251"/>
      <c r="BRM16" s="251"/>
      <c r="BRN16" s="251"/>
      <c r="BRO16" s="251"/>
      <c r="BRP16" s="251"/>
      <c r="BRQ16" s="251"/>
      <c r="BRR16" s="251"/>
      <c r="BRS16" s="251"/>
      <c r="BRT16" s="251"/>
      <c r="BRU16" s="251"/>
      <c r="BRV16" s="251"/>
      <c r="BRW16" s="251"/>
      <c r="BRX16" s="251"/>
      <c r="BRY16" s="251"/>
      <c r="BRZ16" s="251"/>
      <c r="BSA16" s="251"/>
      <c r="BSB16" s="251"/>
      <c r="BSC16" s="251"/>
      <c r="BSD16" s="251"/>
      <c r="BSE16" s="251"/>
      <c r="BSF16" s="251"/>
      <c r="BSG16" s="251"/>
      <c r="BSH16" s="251"/>
      <c r="BSI16" s="251"/>
      <c r="BSJ16" s="251"/>
      <c r="BSK16" s="251"/>
      <c r="BSL16" s="251"/>
      <c r="BSM16" s="251"/>
      <c r="BSN16" s="251"/>
      <c r="BSO16" s="251"/>
      <c r="BSP16" s="251"/>
      <c r="BSQ16" s="251"/>
      <c r="BSR16" s="251"/>
      <c r="BSS16" s="251"/>
      <c r="BST16" s="251"/>
      <c r="BSU16" s="251"/>
      <c r="BSV16" s="251"/>
      <c r="BSW16" s="251"/>
      <c r="BSX16" s="251"/>
      <c r="BSY16" s="251"/>
      <c r="BSZ16" s="251"/>
      <c r="BTA16" s="251"/>
      <c r="BTB16" s="251"/>
      <c r="BTC16" s="251"/>
      <c r="BTD16" s="251"/>
      <c r="BTE16" s="251"/>
      <c r="BTF16" s="251"/>
      <c r="BTG16" s="251"/>
      <c r="BTH16" s="251"/>
      <c r="BTI16" s="251"/>
      <c r="BTJ16" s="251"/>
      <c r="BTK16" s="251"/>
      <c r="BTL16" s="251"/>
      <c r="BTM16" s="251"/>
      <c r="BTN16" s="251"/>
      <c r="BTO16" s="251"/>
      <c r="BTP16" s="251"/>
      <c r="BTQ16" s="251"/>
      <c r="BTR16" s="251"/>
      <c r="BTS16" s="251"/>
      <c r="BTT16" s="251"/>
      <c r="BTU16" s="251"/>
      <c r="BTV16" s="251"/>
      <c r="BTW16" s="251"/>
      <c r="BTX16" s="251"/>
      <c r="BTY16" s="251"/>
      <c r="BTZ16" s="251"/>
      <c r="BUA16" s="251"/>
      <c r="BUB16" s="251"/>
      <c r="BUC16" s="251"/>
      <c r="BUD16" s="251"/>
      <c r="BUE16" s="251"/>
      <c r="BUF16" s="251"/>
      <c r="BUG16" s="251"/>
      <c r="BUH16" s="251"/>
      <c r="BUI16" s="251"/>
      <c r="BUJ16" s="251"/>
      <c r="BUK16" s="251"/>
      <c r="BUL16" s="251"/>
      <c r="BUM16" s="251"/>
      <c r="BUN16" s="251"/>
      <c r="BUO16" s="251"/>
      <c r="BUP16" s="251"/>
      <c r="BUQ16" s="251"/>
      <c r="BUR16" s="251"/>
      <c r="BUS16" s="251"/>
      <c r="BUT16" s="251"/>
      <c r="BUU16" s="251"/>
      <c r="BUV16" s="251"/>
      <c r="BUW16" s="251"/>
      <c r="BUX16" s="251"/>
      <c r="BUY16" s="251"/>
      <c r="BUZ16" s="251"/>
      <c r="BVA16" s="251"/>
      <c r="BVB16" s="251"/>
      <c r="BVC16" s="251"/>
      <c r="BVD16" s="251"/>
      <c r="BVE16" s="251"/>
      <c r="BVF16" s="251"/>
      <c r="BVG16" s="251"/>
      <c r="BVH16" s="251"/>
      <c r="BVI16" s="251"/>
      <c r="BVJ16" s="251"/>
      <c r="BVK16" s="251"/>
      <c r="BVL16" s="251"/>
      <c r="BVM16" s="251"/>
      <c r="BVN16" s="251"/>
      <c r="BVO16" s="251"/>
      <c r="BVP16" s="251"/>
      <c r="BVQ16" s="251"/>
      <c r="BVR16" s="251"/>
      <c r="BVS16" s="251"/>
      <c r="BVT16" s="251"/>
      <c r="BVU16" s="251"/>
      <c r="BVV16" s="251"/>
      <c r="BVW16" s="251"/>
      <c r="BVX16" s="251"/>
      <c r="BVY16" s="251"/>
      <c r="BVZ16" s="251"/>
      <c r="BWA16" s="251"/>
      <c r="BWB16" s="251"/>
      <c r="BWC16" s="251"/>
      <c r="BWD16" s="251"/>
      <c r="BWE16" s="251"/>
      <c r="BWF16" s="251"/>
      <c r="BWG16" s="251"/>
      <c r="BWH16" s="251"/>
      <c r="BWI16" s="251"/>
      <c r="BWJ16" s="251"/>
      <c r="BWK16" s="251"/>
      <c r="BWL16" s="251"/>
      <c r="BWM16" s="251"/>
      <c r="BWN16" s="251"/>
      <c r="BWO16" s="251"/>
      <c r="BWP16" s="251"/>
      <c r="BWQ16" s="251"/>
      <c r="BWR16" s="251"/>
      <c r="BWS16" s="251"/>
      <c r="BWT16" s="251"/>
      <c r="BWU16" s="251"/>
      <c r="BWV16" s="251"/>
      <c r="BWW16" s="251"/>
      <c r="BWX16" s="251"/>
      <c r="BWY16" s="251"/>
      <c r="BWZ16" s="251"/>
      <c r="BXA16" s="251"/>
      <c r="BXB16" s="251"/>
      <c r="BXC16" s="251"/>
      <c r="BXD16" s="251"/>
      <c r="BXE16" s="251"/>
      <c r="BXF16" s="251"/>
      <c r="BXG16" s="251"/>
      <c r="BXH16" s="251"/>
      <c r="BXI16" s="251"/>
      <c r="BXJ16" s="251"/>
      <c r="BXK16" s="251"/>
      <c r="BXL16" s="251"/>
      <c r="BXM16" s="251"/>
      <c r="BXN16" s="251"/>
      <c r="BXO16" s="251"/>
      <c r="BXP16" s="251"/>
      <c r="BXQ16" s="251"/>
      <c r="BXR16" s="251"/>
      <c r="BXS16" s="251"/>
      <c r="BXT16" s="251"/>
      <c r="BXU16" s="251"/>
      <c r="BXV16" s="251"/>
      <c r="BXW16" s="251"/>
      <c r="BXX16" s="251"/>
      <c r="BXY16" s="251"/>
      <c r="BXZ16" s="251"/>
      <c r="BYA16" s="251"/>
      <c r="BYB16" s="251"/>
      <c r="BYC16" s="251"/>
      <c r="BYD16" s="251"/>
      <c r="BYE16" s="251"/>
      <c r="BYF16" s="251"/>
      <c r="BYG16" s="251"/>
      <c r="BYH16" s="251"/>
      <c r="BYI16" s="251"/>
      <c r="BYJ16" s="251"/>
      <c r="BYK16" s="251"/>
      <c r="BYL16" s="251"/>
      <c r="BYM16" s="251"/>
      <c r="BYN16" s="251"/>
      <c r="BYO16" s="251"/>
      <c r="BYP16" s="251"/>
      <c r="BYQ16" s="251"/>
      <c r="BYR16" s="251"/>
      <c r="BYS16" s="251"/>
      <c r="BYT16" s="251"/>
      <c r="BYU16" s="251"/>
      <c r="BYV16" s="251"/>
      <c r="BYW16" s="251"/>
      <c r="BYX16" s="251"/>
      <c r="BYY16" s="251"/>
      <c r="BYZ16" s="251"/>
      <c r="BZA16" s="251"/>
      <c r="BZB16" s="251"/>
      <c r="BZC16" s="251"/>
      <c r="BZD16" s="251"/>
      <c r="BZE16" s="251"/>
      <c r="BZF16" s="251"/>
      <c r="BZG16" s="251"/>
      <c r="BZH16" s="251"/>
      <c r="BZI16" s="251"/>
      <c r="BZJ16" s="251"/>
      <c r="BZK16" s="251"/>
      <c r="BZL16" s="251"/>
      <c r="BZM16" s="251"/>
      <c r="BZN16" s="251"/>
      <c r="BZO16" s="251"/>
      <c r="BZP16" s="251"/>
      <c r="BZQ16" s="251"/>
      <c r="BZR16" s="251"/>
      <c r="BZS16" s="251"/>
      <c r="BZT16" s="251"/>
      <c r="BZU16" s="251"/>
      <c r="BZV16" s="251"/>
      <c r="BZW16" s="251"/>
      <c r="BZX16" s="251"/>
      <c r="BZY16" s="251"/>
      <c r="BZZ16" s="251"/>
      <c r="CAA16" s="251"/>
      <c r="CAB16" s="251"/>
      <c r="CAC16" s="251"/>
      <c r="CAD16" s="251"/>
      <c r="CAE16" s="251"/>
      <c r="CAF16" s="251"/>
      <c r="CAG16" s="251"/>
      <c r="CAH16" s="251"/>
      <c r="CAI16" s="251"/>
      <c r="CAJ16" s="251"/>
      <c r="CAK16" s="251"/>
      <c r="CAL16" s="251"/>
      <c r="CAM16" s="251"/>
      <c r="CAN16" s="251"/>
      <c r="CAO16" s="251"/>
      <c r="CAP16" s="251"/>
      <c r="CAQ16" s="251"/>
      <c r="CAR16" s="251"/>
      <c r="CAS16" s="251"/>
      <c r="CAT16" s="251"/>
      <c r="CAU16" s="251"/>
      <c r="CAV16" s="251"/>
      <c r="CAW16" s="251"/>
      <c r="CAX16" s="251"/>
      <c r="CAY16" s="251"/>
      <c r="CAZ16" s="251"/>
      <c r="CBA16" s="251"/>
      <c r="CBB16" s="251"/>
      <c r="CBC16" s="251"/>
      <c r="CBD16" s="251"/>
      <c r="CBE16" s="251"/>
      <c r="CBF16" s="251"/>
      <c r="CBG16" s="251"/>
      <c r="CBH16" s="251"/>
      <c r="CBI16" s="251"/>
      <c r="CBJ16" s="251"/>
      <c r="CBK16" s="251"/>
      <c r="CBL16" s="251"/>
      <c r="CBM16" s="251"/>
      <c r="CBN16" s="251"/>
      <c r="CBO16" s="251"/>
      <c r="CBP16" s="251"/>
      <c r="CBQ16" s="251"/>
      <c r="CBR16" s="251"/>
      <c r="CBS16" s="251"/>
      <c r="CBT16" s="251"/>
      <c r="CBU16" s="251"/>
      <c r="CBV16" s="251"/>
      <c r="CBW16" s="251"/>
      <c r="CBX16" s="251"/>
      <c r="CBY16" s="251"/>
      <c r="CBZ16" s="251"/>
      <c r="CCA16" s="251"/>
      <c r="CCB16" s="251"/>
      <c r="CCC16" s="251"/>
      <c r="CCD16" s="251"/>
      <c r="CCE16" s="251"/>
      <c r="CCF16" s="251"/>
      <c r="CCG16" s="251"/>
      <c r="CCH16" s="251"/>
      <c r="CCI16" s="251"/>
      <c r="CCJ16" s="251"/>
      <c r="CCK16" s="251"/>
      <c r="CCL16" s="251"/>
      <c r="CCM16" s="251"/>
      <c r="CCN16" s="251"/>
      <c r="CCO16" s="251"/>
      <c r="CCP16" s="251"/>
      <c r="CCQ16" s="251"/>
      <c r="CCR16" s="251"/>
      <c r="CCS16" s="251"/>
      <c r="CCT16" s="251"/>
      <c r="CCU16" s="251"/>
      <c r="CCV16" s="251"/>
      <c r="CCW16" s="251"/>
      <c r="CCX16" s="251"/>
      <c r="CCY16" s="251"/>
      <c r="CCZ16" s="251"/>
      <c r="CDA16" s="251"/>
      <c r="CDB16" s="251"/>
      <c r="CDC16" s="251"/>
      <c r="CDD16" s="251"/>
      <c r="CDE16" s="251"/>
      <c r="CDF16" s="251"/>
      <c r="CDG16" s="251"/>
      <c r="CDH16" s="251"/>
      <c r="CDI16" s="251"/>
      <c r="CDJ16" s="251"/>
      <c r="CDK16" s="251"/>
      <c r="CDL16" s="251"/>
      <c r="CDM16" s="251"/>
      <c r="CDN16" s="251"/>
      <c r="CDO16" s="251"/>
      <c r="CDP16" s="251"/>
      <c r="CDQ16" s="251"/>
      <c r="CDR16" s="251"/>
      <c r="CDS16" s="251"/>
      <c r="CDT16" s="251"/>
      <c r="CDU16" s="251"/>
      <c r="CDV16" s="251"/>
      <c r="CDW16" s="251"/>
      <c r="CDX16" s="251"/>
      <c r="CDY16" s="251"/>
      <c r="CDZ16" s="251"/>
      <c r="CEA16" s="251"/>
      <c r="CEB16" s="251"/>
      <c r="CEC16" s="251"/>
      <c r="CED16" s="251"/>
      <c r="CEE16" s="251"/>
      <c r="CEF16" s="251"/>
      <c r="CEG16" s="251"/>
      <c r="CEH16" s="251"/>
      <c r="CEI16" s="251"/>
      <c r="CEJ16" s="251"/>
      <c r="CEK16" s="251"/>
      <c r="CEL16" s="251"/>
      <c r="CEM16" s="251"/>
      <c r="CEN16" s="251"/>
      <c r="CEO16" s="251"/>
      <c r="CEP16" s="251"/>
      <c r="CEQ16" s="251"/>
      <c r="CER16" s="251"/>
      <c r="CES16" s="251"/>
      <c r="CET16" s="251"/>
      <c r="CEU16" s="251"/>
      <c r="CEV16" s="251"/>
      <c r="CEW16" s="251"/>
      <c r="CEX16" s="251"/>
      <c r="CEY16" s="251"/>
      <c r="CEZ16" s="251"/>
      <c r="CFA16" s="251"/>
      <c r="CFB16" s="251"/>
      <c r="CFC16" s="251"/>
      <c r="CFD16" s="251"/>
      <c r="CFE16" s="251"/>
      <c r="CFF16" s="251"/>
      <c r="CFG16" s="251"/>
      <c r="CFH16" s="251"/>
      <c r="CFI16" s="251"/>
      <c r="CFJ16" s="251"/>
      <c r="CFK16" s="251"/>
      <c r="CFL16" s="251"/>
      <c r="CFM16" s="251"/>
      <c r="CFN16" s="251"/>
      <c r="CFO16" s="251"/>
      <c r="CFP16" s="251"/>
      <c r="CFQ16" s="251"/>
      <c r="CFR16" s="251"/>
      <c r="CFS16" s="251"/>
      <c r="CFT16" s="251"/>
      <c r="CFU16" s="251"/>
      <c r="CFV16" s="251"/>
      <c r="CFW16" s="251"/>
      <c r="CFX16" s="251"/>
      <c r="CFY16" s="251"/>
      <c r="CFZ16" s="251"/>
      <c r="CGA16" s="251"/>
      <c r="CGB16" s="251"/>
      <c r="CGC16" s="251"/>
      <c r="CGD16" s="251"/>
      <c r="CGE16" s="251"/>
      <c r="CGF16" s="251"/>
      <c r="CGG16" s="251"/>
      <c r="CGH16" s="251"/>
      <c r="CGI16" s="251"/>
      <c r="CGJ16" s="251"/>
      <c r="CGK16" s="251"/>
      <c r="CGL16" s="251"/>
      <c r="CGM16" s="251"/>
      <c r="CGN16" s="251"/>
      <c r="CGO16" s="251"/>
      <c r="CGP16" s="251"/>
      <c r="CGQ16" s="251"/>
      <c r="CGR16" s="251"/>
      <c r="CGS16" s="251"/>
      <c r="CGT16" s="251"/>
      <c r="CGU16" s="251"/>
      <c r="CGV16" s="251"/>
      <c r="CGW16" s="251"/>
      <c r="CGX16" s="251"/>
      <c r="CGY16" s="251"/>
      <c r="CGZ16" s="251"/>
      <c r="CHA16" s="251"/>
      <c r="CHB16" s="251"/>
      <c r="CHC16" s="251"/>
      <c r="CHD16" s="251"/>
      <c r="CHE16" s="251"/>
      <c r="CHF16" s="251"/>
      <c r="CHG16" s="251"/>
      <c r="CHH16" s="251"/>
      <c r="CHI16" s="251"/>
      <c r="CHJ16" s="251"/>
      <c r="CHK16" s="251"/>
      <c r="CHL16" s="251"/>
      <c r="CHM16" s="251"/>
      <c r="CHN16" s="251"/>
      <c r="CHO16" s="251"/>
      <c r="CHP16" s="251"/>
      <c r="CHQ16" s="251"/>
      <c r="CHR16" s="251"/>
      <c r="CHS16" s="251"/>
      <c r="CHT16" s="251"/>
      <c r="CHU16" s="251"/>
      <c r="CHV16" s="251"/>
      <c r="CHW16" s="251"/>
      <c r="CHX16" s="251"/>
      <c r="CHY16" s="251"/>
      <c r="CHZ16" s="251"/>
      <c r="CIA16" s="251"/>
      <c r="CIB16" s="251"/>
      <c r="CIC16" s="251"/>
      <c r="CID16" s="251"/>
      <c r="CIE16" s="251"/>
      <c r="CIF16" s="251"/>
      <c r="CIG16" s="251"/>
      <c r="CIH16" s="251"/>
      <c r="CII16" s="251"/>
      <c r="CIJ16" s="251"/>
      <c r="CIK16" s="251"/>
      <c r="CIL16" s="251"/>
      <c r="CIM16" s="251"/>
      <c r="CIN16" s="251"/>
      <c r="CIO16" s="251"/>
      <c r="CIP16" s="251"/>
      <c r="CIQ16" s="251"/>
      <c r="CIR16" s="251"/>
      <c r="CIS16" s="251"/>
      <c r="CIT16" s="251"/>
      <c r="CIU16" s="251"/>
      <c r="CIV16" s="251"/>
      <c r="CIW16" s="251"/>
      <c r="CIX16" s="251"/>
      <c r="CIY16" s="251"/>
      <c r="CIZ16" s="251"/>
      <c r="CJA16" s="251"/>
      <c r="CJB16" s="251"/>
      <c r="CJC16" s="251"/>
      <c r="CJD16" s="251"/>
      <c r="CJE16" s="251"/>
      <c r="CJF16" s="251"/>
      <c r="CJG16" s="251"/>
      <c r="CJH16" s="251"/>
      <c r="CJI16" s="251"/>
      <c r="CJJ16" s="251"/>
      <c r="CJK16" s="251"/>
      <c r="CJL16" s="251"/>
      <c r="CJM16" s="251"/>
      <c r="CJN16" s="251"/>
      <c r="CJO16" s="251"/>
      <c r="CJP16" s="251"/>
      <c r="CJQ16" s="251"/>
      <c r="CJR16" s="251"/>
      <c r="CJS16" s="251"/>
      <c r="CJT16" s="251"/>
      <c r="CJU16" s="251"/>
      <c r="CJV16" s="251"/>
      <c r="CJW16" s="251"/>
      <c r="CJX16" s="251"/>
      <c r="CJY16" s="251"/>
      <c r="CJZ16" s="251"/>
      <c r="CKA16" s="251"/>
      <c r="CKB16" s="251"/>
      <c r="CKC16" s="251"/>
      <c r="CKD16" s="251"/>
      <c r="CKE16" s="251"/>
      <c r="CKF16" s="251"/>
      <c r="CKG16" s="251"/>
      <c r="CKH16" s="251"/>
      <c r="CKI16" s="251"/>
      <c r="CKJ16" s="251"/>
      <c r="CKK16" s="251"/>
      <c r="CKL16" s="251"/>
      <c r="CKM16" s="251"/>
      <c r="CKN16" s="251"/>
      <c r="CKO16" s="251"/>
      <c r="CKP16" s="251"/>
      <c r="CKQ16" s="251"/>
      <c r="CKR16" s="251"/>
      <c r="CKS16" s="251"/>
      <c r="CKT16" s="251"/>
      <c r="CKU16" s="251"/>
      <c r="CKV16" s="251"/>
      <c r="CKW16" s="251"/>
      <c r="CKX16" s="251"/>
      <c r="CKY16" s="251"/>
      <c r="CKZ16" s="251"/>
      <c r="CLA16" s="251"/>
      <c r="CLB16" s="251"/>
      <c r="CLC16" s="251"/>
      <c r="CLD16" s="251"/>
      <c r="CLE16" s="251"/>
      <c r="CLF16" s="251"/>
      <c r="CLG16" s="251"/>
      <c r="CLH16" s="251"/>
      <c r="CLI16" s="251"/>
      <c r="CLJ16" s="251"/>
      <c r="CLK16" s="251"/>
      <c r="CLL16" s="251"/>
      <c r="CLM16" s="251"/>
      <c r="CLN16" s="251"/>
      <c r="CLO16" s="251"/>
      <c r="CLP16" s="251"/>
      <c r="CLQ16" s="251"/>
      <c r="CLR16" s="251"/>
      <c r="CLS16" s="251"/>
      <c r="CLT16" s="251"/>
      <c r="CLU16" s="251"/>
      <c r="CLV16" s="251"/>
      <c r="CLW16" s="251"/>
      <c r="CLX16" s="251"/>
      <c r="CLY16" s="251"/>
      <c r="CLZ16" s="251"/>
      <c r="CMA16" s="251"/>
      <c r="CMB16" s="251"/>
      <c r="CMC16" s="251"/>
      <c r="CMD16" s="251"/>
      <c r="CME16" s="251"/>
      <c r="CMF16" s="251"/>
      <c r="CMG16" s="251"/>
      <c r="CMH16" s="251"/>
      <c r="CMI16" s="251"/>
      <c r="CMJ16" s="251"/>
      <c r="CMK16" s="251"/>
      <c r="CML16" s="251"/>
      <c r="CMM16" s="251"/>
      <c r="CMN16" s="251"/>
      <c r="CMO16" s="251"/>
      <c r="CMP16" s="251"/>
      <c r="CMQ16" s="251"/>
      <c r="CMR16" s="251"/>
      <c r="CMS16" s="251"/>
      <c r="CMT16" s="251"/>
      <c r="CMU16" s="251"/>
      <c r="CMV16" s="251"/>
      <c r="CMW16" s="251"/>
      <c r="CMX16" s="251"/>
      <c r="CMY16" s="251"/>
      <c r="CMZ16" s="251"/>
      <c r="CNA16" s="251"/>
      <c r="CNB16" s="251"/>
      <c r="CNC16" s="251"/>
      <c r="CND16" s="251"/>
      <c r="CNE16" s="251"/>
      <c r="CNF16" s="251"/>
      <c r="CNG16" s="251"/>
      <c r="CNH16" s="251"/>
      <c r="CNI16" s="251"/>
      <c r="CNJ16" s="251"/>
      <c r="CNK16" s="251"/>
      <c r="CNL16" s="251"/>
      <c r="CNM16" s="251"/>
      <c r="CNN16" s="251"/>
      <c r="CNO16" s="251"/>
      <c r="CNP16" s="251"/>
      <c r="CNQ16" s="251"/>
      <c r="CNR16" s="251"/>
      <c r="CNS16" s="251"/>
      <c r="CNT16" s="251"/>
      <c r="CNU16" s="251"/>
      <c r="CNV16" s="251"/>
      <c r="CNW16" s="251"/>
      <c r="CNX16" s="251"/>
      <c r="CNY16" s="251"/>
      <c r="CNZ16" s="251"/>
      <c r="COA16" s="251"/>
      <c r="COB16" s="251"/>
      <c r="COC16" s="251"/>
      <c r="COD16" s="251"/>
      <c r="COE16" s="251"/>
      <c r="COF16" s="251"/>
      <c r="COG16" s="251"/>
      <c r="COH16" s="251"/>
      <c r="COI16" s="251"/>
      <c r="COJ16" s="251"/>
      <c r="COK16" s="251"/>
      <c r="COL16" s="251"/>
      <c r="COM16" s="251"/>
      <c r="CON16" s="251"/>
      <c r="COO16" s="251"/>
      <c r="COP16" s="251"/>
      <c r="COQ16" s="251"/>
      <c r="COR16" s="251"/>
      <c r="COS16" s="251"/>
      <c r="COT16" s="251"/>
      <c r="COU16" s="251"/>
      <c r="COV16" s="251"/>
      <c r="COW16" s="251"/>
      <c r="COX16" s="251"/>
      <c r="COY16" s="251"/>
      <c r="COZ16" s="251"/>
      <c r="CPA16" s="251"/>
      <c r="CPB16" s="251"/>
      <c r="CPC16" s="251"/>
      <c r="CPD16" s="251"/>
      <c r="CPE16" s="251"/>
      <c r="CPF16" s="251"/>
      <c r="CPG16" s="251"/>
      <c r="CPH16" s="251"/>
      <c r="CPI16" s="251"/>
      <c r="CPJ16" s="251"/>
      <c r="CPK16" s="251"/>
      <c r="CPL16" s="251"/>
      <c r="CPM16" s="251"/>
      <c r="CPN16" s="251"/>
      <c r="CPO16" s="251"/>
      <c r="CPP16" s="251"/>
      <c r="CPQ16" s="251"/>
      <c r="CPR16" s="251"/>
      <c r="CPS16" s="251"/>
      <c r="CPT16" s="251"/>
      <c r="CPU16" s="251"/>
      <c r="CPV16" s="251"/>
      <c r="CPW16" s="251"/>
      <c r="CPX16" s="251"/>
      <c r="CPY16" s="251"/>
      <c r="CPZ16" s="251"/>
      <c r="CQA16" s="251"/>
      <c r="CQB16" s="251"/>
      <c r="CQC16" s="251"/>
      <c r="CQD16" s="251"/>
      <c r="CQE16" s="251"/>
      <c r="CQF16" s="251"/>
      <c r="CQG16" s="251"/>
      <c r="CQH16" s="251"/>
      <c r="CQI16" s="251"/>
      <c r="CQJ16" s="251"/>
      <c r="CQK16" s="251"/>
      <c r="CQL16" s="251"/>
      <c r="CQM16" s="251"/>
      <c r="CQN16" s="251"/>
      <c r="CQO16" s="251"/>
      <c r="CQP16" s="251"/>
      <c r="CQQ16" s="251"/>
      <c r="CQR16" s="251"/>
      <c r="CQS16" s="251"/>
      <c r="CQT16" s="251"/>
      <c r="CQU16" s="251"/>
      <c r="CQV16" s="251"/>
      <c r="CQW16" s="251"/>
      <c r="CQX16" s="251"/>
      <c r="CQY16" s="251"/>
      <c r="CQZ16" s="251"/>
      <c r="CRA16" s="251"/>
      <c r="CRB16" s="251"/>
      <c r="CRC16" s="251"/>
      <c r="CRD16" s="251"/>
      <c r="CRE16" s="251"/>
      <c r="CRF16" s="251"/>
      <c r="CRG16" s="251"/>
      <c r="CRH16" s="251"/>
      <c r="CRI16" s="251"/>
      <c r="CRJ16" s="251"/>
      <c r="CRK16" s="251"/>
      <c r="CRL16" s="251"/>
      <c r="CRM16" s="251"/>
      <c r="CRN16" s="251"/>
      <c r="CRO16" s="251"/>
      <c r="CRP16" s="251"/>
      <c r="CRQ16" s="251"/>
      <c r="CRR16" s="251"/>
      <c r="CRS16" s="251"/>
      <c r="CRT16" s="251"/>
      <c r="CRU16" s="251"/>
      <c r="CRV16" s="251"/>
      <c r="CRW16" s="251"/>
      <c r="CRX16" s="251"/>
      <c r="CRY16" s="251"/>
      <c r="CRZ16" s="251"/>
      <c r="CSA16" s="251"/>
      <c r="CSB16" s="251"/>
      <c r="CSC16" s="251"/>
      <c r="CSD16" s="251"/>
      <c r="CSE16" s="251"/>
      <c r="CSF16" s="251"/>
      <c r="CSG16" s="251"/>
      <c r="CSH16" s="251"/>
      <c r="CSI16" s="251"/>
      <c r="CSJ16" s="251"/>
      <c r="CSK16" s="251"/>
      <c r="CSL16" s="251"/>
      <c r="CSM16" s="251"/>
      <c r="CSN16" s="251"/>
      <c r="CSO16" s="251"/>
      <c r="CSP16" s="251"/>
      <c r="CSQ16" s="251"/>
      <c r="CSR16" s="251"/>
      <c r="CSS16" s="251"/>
      <c r="CST16" s="251"/>
      <c r="CSU16" s="251"/>
      <c r="CSV16" s="251"/>
      <c r="CSW16" s="251"/>
      <c r="CSX16" s="251"/>
      <c r="CSY16" s="251"/>
      <c r="CSZ16" s="251"/>
      <c r="CTA16" s="251"/>
      <c r="CTB16" s="251"/>
      <c r="CTC16" s="251"/>
      <c r="CTD16" s="251"/>
      <c r="CTE16" s="251"/>
      <c r="CTF16" s="251"/>
      <c r="CTG16" s="251"/>
      <c r="CTH16" s="251"/>
      <c r="CTI16" s="251"/>
      <c r="CTJ16" s="251"/>
      <c r="CTK16" s="251"/>
      <c r="CTL16" s="251"/>
      <c r="CTM16" s="251"/>
      <c r="CTN16" s="251"/>
      <c r="CTO16" s="251"/>
      <c r="CTP16" s="251"/>
      <c r="CTQ16" s="251"/>
      <c r="CTR16" s="251"/>
      <c r="CTS16" s="251"/>
      <c r="CTT16" s="251"/>
      <c r="CTU16" s="251"/>
      <c r="CTV16" s="251"/>
      <c r="CTW16" s="251"/>
      <c r="CTX16" s="251"/>
      <c r="CTY16" s="251"/>
      <c r="CTZ16" s="251"/>
      <c r="CUA16" s="251"/>
      <c r="CUB16" s="251"/>
      <c r="CUC16" s="251"/>
      <c r="CUD16" s="251"/>
      <c r="CUE16" s="251"/>
      <c r="CUF16" s="251"/>
      <c r="CUG16" s="251"/>
      <c r="CUH16" s="251"/>
      <c r="CUI16" s="251"/>
      <c r="CUJ16" s="251"/>
      <c r="CUK16" s="251"/>
      <c r="CUL16" s="251"/>
      <c r="CUM16" s="251"/>
      <c r="CUN16" s="251"/>
      <c r="CUO16" s="251"/>
      <c r="CUP16" s="251"/>
      <c r="CUQ16" s="251"/>
      <c r="CUR16" s="251"/>
      <c r="CUS16" s="251"/>
      <c r="CUT16" s="251"/>
      <c r="CUU16" s="251"/>
      <c r="CUV16" s="251"/>
      <c r="CUW16" s="251"/>
      <c r="CUX16" s="251"/>
      <c r="CUY16" s="251"/>
      <c r="CUZ16" s="251"/>
      <c r="CVA16" s="251"/>
      <c r="CVB16" s="251"/>
      <c r="CVC16" s="251"/>
      <c r="CVD16" s="251"/>
      <c r="CVE16" s="251"/>
      <c r="CVF16" s="251"/>
      <c r="CVG16" s="251"/>
      <c r="CVH16" s="251"/>
      <c r="CVI16" s="251"/>
      <c r="CVJ16" s="251"/>
      <c r="CVK16" s="251"/>
      <c r="CVL16" s="251"/>
      <c r="CVM16" s="251"/>
      <c r="CVN16" s="251"/>
      <c r="CVO16" s="251"/>
      <c r="CVP16" s="251"/>
      <c r="CVQ16" s="251"/>
      <c r="CVR16" s="251"/>
      <c r="CVS16" s="251"/>
      <c r="CVT16" s="251"/>
      <c r="CVU16" s="251"/>
      <c r="CVV16" s="251"/>
      <c r="CVW16" s="251"/>
      <c r="CVX16" s="251"/>
      <c r="CVY16" s="251"/>
      <c r="CVZ16" s="251"/>
      <c r="CWA16" s="251"/>
      <c r="CWB16" s="251"/>
      <c r="CWC16" s="251"/>
      <c r="CWD16" s="251"/>
      <c r="CWE16" s="251"/>
      <c r="CWF16" s="251"/>
      <c r="CWG16" s="251"/>
      <c r="CWH16" s="251"/>
      <c r="CWI16" s="251"/>
      <c r="CWJ16" s="251"/>
      <c r="CWK16" s="251"/>
      <c r="CWL16" s="251"/>
      <c r="CWM16" s="251"/>
      <c r="CWN16" s="251"/>
      <c r="CWO16" s="251"/>
      <c r="CWP16" s="251"/>
      <c r="CWQ16" s="251"/>
      <c r="CWR16" s="251"/>
      <c r="CWS16" s="251"/>
      <c r="CWT16" s="251"/>
      <c r="CWU16" s="251"/>
      <c r="CWV16" s="251"/>
      <c r="CWW16" s="251"/>
      <c r="CWX16" s="251"/>
      <c r="CWY16" s="251"/>
      <c r="CWZ16" s="251"/>
      <c r="CXA16" s="251"/>
      <c r="CXB16" s="251"/>
      <c r="CXC16" s="251"/>
      <c r="CXD16" s="251"/>
      <c r="CXE16" s="251"/>
      <c r="CXF16" s="251"/>
      <c r="CXG16" s="251"/>
      <c r="CXH16" s="251"/>
      <c r="CXI16" s="251"/>
      <c r="CXJ16" s="251"/>
      <c r="CXK16" s="251"/>
      <c r="CXL16" s="251"/>
      <c r="CXM16" s="251"/>
      <c r="CXN16" s="251"/>
      <c r="CXO16" s="251"/>
      <c r="CXP16" s="251"/>
      <c r="CXQ16" s="251"/>
      <c r="CXR16" s="251"/>
      <c r="CXS16" s="251"/>
      <c r="CXT16" s="251"/>
      <c r="CXU16" s="251"/>
      <c r="CXV16" s="251"/>
      <c r="CXW16" s="251"/>
      <c r="CXX16" s="251"/>
      <c r="CXY16" s="251"/>
      <c r="CXZ16" s="251"/>
      <c r="CYA16" s="251"/>
      <c r="CYB16" s="251"/>
      <c r="CYC16" s="251"/>
      <c r="CYD16" s="251"/>
      <c r="CYE16" s="251"/>
      <c r="CYF16" s="251"/>
      <c r="CYG16" s="251"/>
      <c r="CYH16" s="251"/>
      <c r="CYI16" s="251"/>
      <c r="CYJ16" s="251"/>
      <c r="CYK16" s="251"/>
      <c r="CYL16" s="251"/>
      <c r="CYM16" s="251"/>
      <c r="CYN16" s="251"/>
      <c r="CYO16" s="251"/>
      <c r="CYP16" s="251"/>
      <c r="CYQ16" s="251"/>
      <c r="CYR16" s="251"/>
      <c r="CYS16" s="251"/>
      <c r="CYT16" s="251"/>
      <c r="CYU16" s="251"/>
      <c r="CYV16" s="251"/>
      <c r="CYW16" s="251"/>
      <c r="CYX16" s="251"/>
      <c r="CYY16" s="251"/>
      <c r="CYZ16" s="251"/>
      <c r="CZA16" s="251"/>
      <c r="CZB16" s="251"/>
      <c r="CZC16" s="251"/>
      <c r="CZD16" s="251"/>
      <c r="CZE16" s="251"/>
      <c r="CZF16" s="251"/>
      <c r="CZG16" s="251"/>
      <c r="CZH16" s="251"/>
      <c r="CZI16" s="251"/>
      <c r="CZJ16" s="251"/>
      <c r="CZK16" s="251"/>
      <c r="CZL16" s="251"/>
      <c r="CZM16" s="251"/>
      <c r="CZN16" s="251"/>
      <c r="CZO16" s="251"/>
      <c r="CZP16" s="251"/>
      <c r="CZQ16" s="251"/>
      <c r="CZR16" s="251"/>
      <c r="CZS16" s="251"/>
      <c r="CZT16" s="251"/>
      <c r="CZU16" s="251"/>
      <c r="CZV16" s="251"/>
      <c r="CZW16" s="251"/>
      <c r="CZX16" s="251"/>
      <c r="CZY16" s="251"/>
      <c r="CZZ16" s="251"/>
      <c r="DAA16" s="251"/>
      <c r="DAB16" s="251"/>
      <c r="DAC16" s="251"/>
      <c r="DAD16" s="251"/>
      <c r="DAE16" s="251"/>
      <c r="DAF16" s="251"/>
      <c r="DAG16" s="251"/>
      <c r="DAH16" s="251"/>
      <c r="DAI16" s="251"/>
      <c r="DAJ16" s="251"/>
      <c r="DAK16" s="251"/>
      <c r="DAL16" s="251"/>
      <c r="DAM16" s="251"/>
      <c r="DAN16" s="251"/>
      <c r="DAO16" s="251"/>
      <c r="DAP16" s="251"/>
      <c r="DAQ16" s="251"/>
      <c r="DAR16" s="251"/>
      <c r="DAS16" s="251"/>
      <c r="DAT16" s="251"/>
      <c r="DAU16" s="251"/>
      <c r="DAV16" s="251"/>
      <c r="DAW16" s="251"/>
      <c r="DAX16" s="251"/>
      <c r="DAY16" s="251"/>
      <c r="DAZ16" s="251"/>
      <c r="DBA16" s="251"/>
      <c r="DBB16" s="251"/>
      <c r="DBC16" s="251"/>
      <c r="DBD16" s="251"/>
      <c r="DBE16" s="251"/>
      <c r="DBF16" s="251"/>
      <c r="DBG16" s="251"/>
      <c r="DBH16" s="251"/>
      <c r="DBI16" s="251"/>
      <c r="DBJ16" s="251"/>
      <c r="DBK16" s="251"/>
      <c r="DBL16" s="251"/>
      <c r="DBM16" s="251"/>
      <c r="DBN16" s="251"/>
      <c r="DBO16" s="251"/>
      <c r="DBP16" s="251"/>
      <c r="DBQ16" s="251"/>
      <c r="DBR16" s="251"/>
      <c r="DBS16" s="251"/>
      <c r="DBT16" s="251"/>
      <c r="DBU16" s="251"/>
      <c r="DBV16" s="251"/>
      <c r="DBW16" s="251"/>
      <c r="DBX16" s="251"/>
      <c r="DBY16" s="251"/>
      <c r="DBZ16" s="251"/>
      <c r="DCA16" s="251"/>
      <c r="DCB16" s="251"/>
      <c r="DCC16" s="251"/>
      <c r="DCD16" s="251"/>
      <c r="DCE16" s="251"/>
      <c r="DCF16" s="251"/>
      <c r="DCG16" s="251"/>
      <c r="DCH16" s="251"/>
      <c r="DCI16" s="251"/>
      <c r="DCJ16" s="251"/>
      <c r="DCK16" s="251"/>
      <c r="DCL16" s="251"/>
      <c r="DCM16" s="251"/>
      <c r="DCN16" s="251"/>
      <c r="DCO16" s="251"/>
      <c r="DCP16" s="251"/>
      <c r="DCQ16" s="251"/>
      <c r="DCR16" s="251"/>
      <c r="DCS16" s="251"/>
      <c r="DCT16" s="251"/>
      <c r="DCU16" s="251"/>
      <c r="DCV16" s="251"/>
      <c r="DCW16" s="251"/>
      <c r="DCX16" s="251"/>
      <c r="DCY16" s="251"/>
      <c r="DCZ16" s="251"/>
      <c r="DDA16" s="251"/>
      <c r="DDB16" s="251"/>
      <c r="DDC16" s="251"/>
      <c r="DDD16" s="251"/>
      <c r="DDE16" s="251"/>
      <c r="DDF16" s="251"/>
      <c r="DDG16" s="251"/>
      <c r="DDH16" s="251"/>
      <c r="DDI16" s="251"/>
      <c r="DDJ16" s="251"/>
      <c r="DDK16" s="251"/>
      <c r="DDL16" s="251"/>
      <c r="DDM16" s="251"/>
      <c r="DDN16" s="251"/>
      <c r="DDO16" s="251"/>
      <c r="DDP16" s="251"/>
      <c r="DDQ16" s="251"/>
      <c r="DDR16" s="251"/>
      <c r="DDS16" s="251"/>
      <c r="DDT16" s="251"/>
      <c r="DDU16" s="251"/>
      <c r="DDV16" s="251"/>
      <c r="DDW16" s="251"/>
      <c r="DDX16" s="251"/>
      <c r="DDY16" s="251"/>
      <c r="DDZ16" s="251"/>
      <c r="DEA16" s="251"/>
      <c r="DEB16" s="251"/>
      <c r="DEC16" s="251"/>
      <c r="DED16" s="251"/>
      <c r="DEE16" s="251"/>
      <c r="DEF16" s="251"/>
      <c r="DEG16" s="251"/>
      <c r="DEH16" s="251"/>
      <c r="DEI16" s="251"/>
      <c r="DEJ16" s="251"/>
      <c r="DEK16" s="251"/>
      <c r="DEL16" s="251"/>
      <c r="DEM16" s="251"/>
      <c r="DEN16" s="251"/>
      <c r="DEO16" s="251"/>
      <c r="DEP16" s="251"/>
      <c r="DEQ16" s="251"/>
      <c r="DER16" s="251"/>
      <c r="DES16" s="251"/>
      <c r="DET16" s="251"/>
      <c r="DEU16" s="251"/>
      <c r="DEV16" s="251"/>
      <c r="DEW16" s="251"/>
      <c r="DEX16" s="251"/>
      <c r="DEY16" s="251"/>
      <c r="DEZ16" s="251"/>
      <c r="DFA16" s="251"/>
      <c r="DFB16" s="251"/>
      <c r="DFC16" s="251"/>
      <c r="DFD16" s="251"/>
      <c r="DFE16" s="251"/>
      <c r="DFF16" s="251"/>
      <c r="DFG16" s="251"/>
      <c r="DFH16" s="251"/>
      <c r="DFI16" s="251"/>
      <c r="DFJ16" s="251"/>
      <c r="DFK16" s="251"/>
      <c r="DFL16" s="251"/>
      <c r="DFM16" s="251"/>
      <c r="DFN16" s="251"/>
      <c r="DFO16" s="251"/>
      <c r="DFP16" s="251"/>
      <c r="DFQ16" s="251"/>
      <c r="DFR16" s="251"/>
      <c r="DFS16" s="251"/>
      <c r="DFT16" s="251"/>
      <c r="DFU16" s="251"/>
      <c r="DFV16" s="251"/>
      <c r="DFW16" s="251"/>
      <c r="DFX16" s="251"/>
      <c r="DFY16" s="251"/>
      <c r="DFZ16" s="251"/>
      <c r="DGA16" s="251"/>
      <c r="DGB16" s="251"/>
      <c r="DGC16" s="251"/>
      <c r="DGD16" s="251"/>
      <c r="DGE16" s="251"/>
      <c r="DGF16" s="251"/>
      <c r="DGG16" s="251"/>
      <c r="DGH16" s="251"/>
      <c r="DGI16" s="251"/>
      <c r="DGJ16" s="251"/>
      <c r="DGK16" s="251"/>
      <c r="DGL16" s="251"/>
      <c r="DGM16" s="251"/>
      <c r="DGN16" s="251"/>
      <c r="DGO16" s="251"/>
      <c r="DGP16" s="251"/>
      <c r="DGQ16" s="251"/>
      <c r="DGR16" s="251"/>
      <c r="DGS16" s="251"/>
      <c r="DGT16" s="251"/>
      <c r="DGU16" s="251"/>
      <c r="DGV16" s="251"/>
      <c r="DGW16" s="251"/>
      <c r="DGX16" s="251"/>
      <c r="DGY16" s="251"/>
      <c r="DGZ16" s="251"/>
      <c r="DHA16" s="251"/>
      <c r="DHB16" s="251"/>
      <c r="DHC16" s="251"/>
      <c r="DHD16" s="251"/>
      <c r="DHE16" s="251"/>
      <c r="DHF16" s="251"/>
      <c r="DHG16" s="251"/>
      <c r="DHH16" s="251"/>
      <c r="DHI16" s="251"/>
      <c r="DHJ16" s="251"/>
      <c r="DHK16" s="251"/>
      <c r="DHL16" s="251"/>
      <c r="DHM16" s="251"/>
      <c r="DHN16" s="251"/>
      <c r="DHO16" s="251"/>
      <c r="DHP16" s="251"/>
      <c r="DHQ16" s="251"/>
      <c r="DHR16" s="251"/>
      <c r="DHS16" s="251"/>
      <c r="DHT16" s="251"/>
      <c r="DHU16" s="251"/>
      <c r="DHV16" s="251"/>
      <c r="DHW16" s="251"/>
      <c r="DHX16" s="251"/>
      <c r="DHY16" s="251"/>
      <c r="DHZ16" s="251"/>
      <c r="DIA16" s="251"/>
      <c r="DIB16" s="251"/>
      <c r="DIC16" s="251"/>
      <c r="DID16" s="251"/>
      <c r="DIE16" s="251"/>
      <c r="DIF16" s="251"/>
      <c r="DIG16" s="251"/>
      <c r="DIH16" s="251"/>
      <c r="DII16" s="251"/>
      <c r="DIJ16" s="251"/>
      <c r="DIK16" s="251"/>
      <c r="DIL16" s="251"/>
      <c r="DIM16" s="251"/>
      <c r="DIN16" s="251"/>
      <c r="DIO16" s="251"/>
      <c r="DIP16" s="251"/>
      <c r="DIQ16" s="251"/>
      <c r="DIR16" s="251"/>
      <c r="DIS16" s="251"/>
      <c r="DIT16" s="251"/>
      <c r="DIU16" s="251"/>
      <c r="DIV16" s="251"/>
      <c r="DIW16" s="251"/>
      <c r="DIX16" s="251"/>
      <c r="DIY16" s="251"/>
      <c r="DIZ16" s="251"/>
      <c r="DJA16" s="251"/>
      <c r="DJB16" s="251"/>
      <c r="DJC16" s="251"/>
      <c r="DJD16" s="251"/>
      <c r="DJE16" s="251"/>
      <c r="DJF16" s="251"/>
      <c r="DJG16" s="251"/>
      <c r="DJH16" s="251"/>
      <c r="DJI16" s="251"/>
      <c r="DJJ16" s="251"/>
      <c r="DJK16" s="251"/>
      <c r="DJL16" s="251"/>
      <c r="DJM16" s="251"/>
      <c r="DJN16" s="251"/>
      <c r="DJO16" s="251"/>
      <c r="DJP16" s="251"/>
      <c r="DJQ16" s="251"/>
      <c r="DJR16" s="251"/>
      <c r="DJS16" s="251"/>
      <c r="DJT16" s="251"/>
      <c r="DJU16" s="251"/>
      <c r="DJV16" s="251"/>
      <c r="DJW16" s="251"/>
      <c r="DJX16" s="251"/>
      <c r="DJY16" s="251"/>
      <c r="DJZ16" s="251"/>
      <c r="DKA16" s="251"/>
      <c r="DKB16" s="251"/>
      <c r="DKC16" s="251"/>
      <c r="DKD16" s="251"/>
      <c r="DKE16" s="251"/>
      <c r="DKF16" s="251"/>
      <c r="DKG16" s="251"/>
      <c r="DKH16" s="251"/>
      <c r="DKI16" s="251"/>
      <c r="DKJ16" s="251"/>
      <c r="DKK16" s="251"/>
      <c r="DKL16" s="251"/>
      <c r="DKM16" s="251"/>
      <c r="DKN16" s="251"/>
      <c r="DKO16" s="251"/>
      <c r="DKP16" s="251"/>
      <c r="DKQ16" s="251"/>
      <c r="DKR16" s="251"/>
      <c r="DKS16" s="251"/>
      <c r="DKT16" s="251"/>
      <c r="DKU16" s="251"/>
      <c r="DKV16" s="251"/>
      <c r="DKW16" s="251"/>
      <c r="DKX16" s="251"/>
      <c r="DKY16" s="251"/>
      <c r="DKZ16" s="251"/>
      <c r="DLA16" s="251"/>
      <c r="DLB16" s="251"/>
      <c r="DLC16" s="251"/>
      <c r="DLD16" s="251"/>
      <c r="DLE16" s="251"/>
      <c r="DLF16" s="251"/>
      <c r="DLG16" s="251"/>
      <c r="DLH16" s="251"/>
      <c r="DLI16" s="251"/>
      <c r="DLJ16" s="251"/>
      <c r="DLK16" s="251"/>
      <c r="DLL16" s="251"/>
      <c r="DLM16" s="251"/>
      <c r="DLN16" s="251"/>
      <c r="DLO16" s="251"/>
      <c r="DLP16" s="251"/>
      <c r="DLQ16" s="251"/>
      <c r="DLR16" s="251"/>
      <c r="DLS16" s="251"/>
      <c r="DLT16" s="251"/>
      <c r="DLU16" s="251"/>
      <c r="DLV16" s="251"/>
      <c r="DLW16" s="251"/>
      <c r="DLX16" s="251"/>
      <c r="DLY16" s="251"/>
      <c r="DLZ16" s="251"/>
      <c r="DMA16" s="251"/>
      <c r="DMB16" s="251"/>
      <c r="DMC16" s="251"/>
      <c r="DMD16" s="251"/>
      <c r="DME16" s="251"/>
      <c r="DMF16" s="251"/>
      <c r="DMG16" s="251"/>
      <c r="DMH16" s="251"/>
      <c r="DMI16" s="251"/>
      <c r="DMJ16" s="251"/>
      <c r="DMK16" s="251"/>
      <c r="DML16" s="251"/>
      <c r="DMM16" s="251"/>
      <c r="DMN16" s="251"/>
      <c r="DMO16" s="251"/>
      <c r="DMP16" s="251"/>
      <c r="DMQ16" s="251"/>
      <c r="DMR16" s="251"/>
      <c r="DMS16" s="251"/>
      <c r="DMT16" s="251"/>
      <c r="DMU16" s="251"/>
      <c r="DMV16" s="251"/>
      <c r="DMW16" s="251"/>
      <c r="DMX16" s="251"/>
      <c r="DMY16" s="251"/>
      <c r="DMZ16" s="251"/>
      <c r="DNA16" s="251"/>
      <c r="DNB16" s="251"/>
      <c r="DNC16" s="251"/>
      <c r="DND16" s="251"/>
      <c r="DNE16" s="251"/>
      <c r="DNF16" s="251"/>
      <c r="DNG16" s="251"/>
      <c r="DNH16" s="251"/>
      <c r="DNI16" s="251"/>
      <c r="DNJ16" s="251"/>
      <c r="DNK16" s="251"/>
      <c r="DNL16" s="251"/>
      <c r="DNM16" s="251"/>
      <c r="DNN16" s="251"/>
      <c r="DNO16" s="251"/>
      <c r="DNP16" s="251"/>
      <c r="DNQ16" s="251"/>
      <c r="DNR16" s="251"/>
      <c r="DNS16" s="251"/>
      <c r="DNT16" s="251"/>
      <c r="DNU16" s="251"/>
      <c r="DNV16" s="251"/>
      <c r="DNW16" s="251"/>
      <c r="DNX16" s="251"/>
      <c r="DNY16" s="251"/>
      <c r="DNZ16" s="251"/>
      <c r="DOA16" s="251"/>
      <c r="DOB16" s="251"/>
      <c r="DOC16" s="251"/>
      <c r="DOD16" s="251"/>
      <c r="DOE16" s="251"/>
      <c r="DOF16" s="251"/>
      <c r="DOG16" s="251"/>
      <c r="DOH16" s="251"/>
      <c r="DOI16" s="251"/>
      <c r="DOJ16" s="251"/>
      <c r="DOK16" s="251"/>
      <c r="DOL16" s="251"/>
      <c r="DOM16" s="251"/>
      <c r="DON16" s="251"/>
      <c r="DOO16" s="251"/>
      <c r="DOP16" s="251"/>
      <c r="DOQ16" s="251"/>
      <c r="DOR16" s="251"/>
      <c r="DOS16" s="251"/>
      <c r="DOT16" s="251"/>
      <c r="DOU16" s="251"/>
      <c r="DOV16" s="251"/>
      <c r="DOW16" s="251"/>
      <c r="DOX16" s="251"/>
      <c r="DOY16" s="251"/>
      <c r="DOZ16" s="251"/>
      <c r="DPA16" s="251"/>
      <c r="DPB16" s="251"/>
      <c r="DPC16" s="251"/>
      <c r="DPD16" s="251"/>
      <c r="DPE16" s="251"/>
      <c r="DPF16" s="251"/>
      <c r="DPG16" s="251"/>
      <c r="DPH16" s="251"/>
      <c r="DPI16" s="251"/>
      <c r="DPJ16" s="251"/>
      <c r="DPK16" s="251"/>
      <c r="DPL16" s="251"/>
      <c r="DPM16" s="251"/>
      <c r="DPN16" s="251"/>
      <c r="DPO16" s="251"/>
      <c r="DPP16" s="251"/>
      <c r="DPQ16" s="251"/>
      <c r="DPR16" s="251"/>
      <c r="DPS16" s="251"/>
      <c r="DPT16" s="251"/>
      <c r="DPU16" s="251"/>
      <c r="DPV16" s="251"/>
      <c r="DPW16" s="251"/>
      <c r="DPX16" s="251"/>
      <c r="DPY16" s="251"/>
      <c r="DPZ16" s="251"/>
      <c r="DQA16" s="251"/>
      <c r="DQB16" s="251"/>
      <c r="DQC16" s="251"/>
      <c r="DQD16" s="251"/>
      <c r="DQE16" s="251"/>
      <c r="DQF16" s="251"/>
      <c r="DQG16" s="251"/>
      <c r="DQH16" s="251"/>
      <c r="DQI16" s="251"/>
      <c r="DQJ16" s="251"/>
      <c r="DQK16" s="251"/>
      <c r="DQL16" s="251"/>
      <c r="DQM16" s="251"/>
      <c r="DQN16" s="251"/>
      <c r="DQO16" s="251"/>
      <c r="DQP16" s="251"/>
      <c r="DQQ16" s="251"/>
      <c r="DQR16" s="251"/>
      <c r="DQS16" s="251"/>
      <c r="DQT16" s="251"/>
      <c r="DQU16" s="251"/>
      <c r="DQV16" s="251"/>
      <c r="DQW16" s="251"/>
      <c r="DQX16" s="251"/>
      <c r="DQY16" s="251"/>
      <c r="DQZ16" s="251"/>
      <c r="DRA16" s="251"/>
      <c r="DRB16" s="251"/>
      <c r="DRC16" s="251"/>
      <c r="DRD16" s="251"/>
      <c r="DRE16" s="251"/>
      <c r="DRF16" s="251"/>
      <c r="DRG16" s="251"/>
      <c r="DRH16" s="251"/>
      <c r="DRI16" s="251"/>
      <c r="DRJ16" s="251"/>
      <c r="DRK16" s="251"/>
      <c r="DRL16" s="251"/>
      <c r="DRM16" s="251"/>
      <c r="DRN16" s="251"/>
      <c r="DRO16" s="251"/>
      <c r="DRP16" s="251"/>
      <c r="DRQ16" s="251"/>
      <c r="DRR16" s="251"/>
      <c r="DRS16" s="251"/>
      <c r="DRT16" s="251"/>
      <c r="DRU16" s="251"/>
      <c r="DRV16" s="251"/>
      <c r="DRW16" s="251"/>
      <c r="DRX16" s="251"/>
      <c r="DRY16" s="251"/>
      <c r="DRZ16" s="251"/>
      <c r="DSA16" s="251"/>
      <c r="DSB16" s="251"/>
      <c r="DSC16" s="251"/>
      <c r="DSD16" s="251"/>
      <c r="DSE16" s="251"/>
      <c r="DSF16" s="251"/>
      <c r="DSG16" s="251"/>
      <c r="DSH16" s="251"/>
      <c r="DSI16" s="251"/>
      <c r="DSJ16" s="251"/>
      <c r="DSK16" s="251"/>
      <c r="DSL16" s="251"/>
      <c r="DSM16" s="251"/>
      <c r="DSN16" s="251"/>
      <c r="DSO16" s="251"/>
      <c r="DSP16" s="251"/>
      <c r="DSQ16" s="251"/>
      <c r="DSR16" s="251"/>
      <c r="DSS16" s="251"/>
      <c r="DST16" s="251"/>
      <c r="DSU16" s="251"/>
      <c r="DSV16" s="251"/>
      <c r="DSW16" s="251"/>
      <c r="DSX16" s="251"/>
      <c r="DSY16" s="251"/>
      <c r="DSZ16" s="251"/>
      <c r="DTA16" s="251"/>
      <c r="DTB16" s="251"/>
      <c r="DTC16" s="251"/>
      <c r="DTD16" s="251"/>
      <c r="DTE16" s="251"/>
      <c r="DTF16" s="251"/>
      <c r="DTG16" s="251"/>
      <c r="DTH16" s="251"/>
      <c r="DTI16" s="251"/>
      <c r="DTJ16" s="251"/>
      <c r="DTK16" s="251"/>
      <c r="DTL16" s="251"/>
      <c r="DTM16" s="251"/>
      <c r="DTN16" s="251"/>
      <c r="DTO16" s="251"/>
      <c r="DTP16" s="251"/>
      <c r="DTQ16" s="251"/>
      <c r="DTR16" s="251"/>
      <c r="DTS16" s="251"/>
      <c r="DTT16" s="251"/>
      <c r="DTU16" s="251"/>
      <c r="DTV16" s="251"/>
      <c r="DTW16" s="251"/>
      <c r="DTX16" s="251"/>
      <c r="DTY16" s="251"/>
      <c r="DTZ16" s="251"/>
      <c r="DUA16" s="251"/>
      <c r="DUB16" s="251"/>
      <c r="DUC16" s="251"/>
      <c r="DUD16" s="251"/>
      <c r="DUE16" s="251"/>
      <c r="DUF16" s="251"/>
      <c r="DUG16" s="251"/>
      <c r="DUH16" s="251"/>
      <c r="DUI16" s="251"/>
      <c r="DUJ16" s="251"/>
      <c r="DUK16" s="251"/>
      <c r="DUL16" s="251"/>
      <c r="DUM16" s="251"/>
      <c r="DUN16" s="251"/>
      <c r="DUO16" s="251"/>
      <c r="DUP16" s="251"/>
      <c r="DUQ16" s="251"/>
      <c r="DUR16" s="251"/>
      <c r="DUS16" s="251"/>
      <c r="DUT16" s="251"/>
      <c r="DUU16" s="251"/>
      <c r="DUV16" s="251"/>
      <c r="DUW16" s="251"/>
      <c r="DUX16" s="251"/>
      <c r="DUY16" s="251"/>
      <c r="DUZ16" s="251"/>
      <c r="DVA16" s="251"/>
      <c r="DVB16" s="251"/>
      <c r="DVC16" s="251"/>
      <c r="DVD16" s="251"/>
      <c r="DVE16" s="251"/>
      <c r="DVF16" s="251"/>
      <c r="DVG16" s="251"/>
      <c r="DVH16" s="251"/>
      <c r="DVI16" s="251"/>
      <c r="DVJ16" s="251"/>
      <c r="DVK16" s="251"/>
      <c r="DVL16" s="251"/>
      <c r="DVM16" s="251"/>
      <c r="DVN16" s="251"/>
      <c r="DVO16" s="251"/>
      <c r="DVP16" s="251"/>
      <c r="DVQ16" s="251"/>
      <c r="DVR16" s="251"/>
      <c r="DVS16" s="251"/>
      <c r="DVT16" s="251"/>
      <c r="DVU16" s="251"/>
      <c r="DVV16" s="251"/>
      <c r="DVW16" s="251"/>
      <c r="DVX16" s="251"/>
      <c r="DVY16" s="251"/>
      <c r="DVZ16" s="251"/>
      <c r="DWA16" s="251"/>
      <c r="DWB16" s="251"/>
      <c r="DWC16" s="251"/>
      <c r="DWD16" s="251"/>
      <c r="DWE16" s="251"/>
      <c r="DWF16" s="251"/>
      <c r="DWG16" s="251"/>
      <c r="DWH16" s="251"/>
      <c r="DWI16" s="251"/>
      <c r="DWJ16" s="251"/>
      <c r="DWK16" s="251"/>
      <c r="DWL16" s="251"/>
      <c r="DWM16" s="251"/>
      <c r="DWN16" s="251"/>
      <c r="DWO16" s="251"/>
      <c r="DWP16" s="251"/>
      <c r="DWQ16" s="251"/>
      <c r="DWR16" s="251"/>
      <c r="DWS16" s="251"/>
      <c r="DWT16" s="251"/>
      <c r="DWU16" s="251"/>
      <c r="DWV16" s="251"/>
      <c r="DWW16" s="251"/>
      <c r="DWX16" s="251"/>
      <c r="DWY16" s="251"/>
      <c r="DWZ16" s="251"/>
      <c r="DXA16" s="251"/>
      <c r="DXB16" s="251"/>
      <c r="DXC16" s="251"/>
      <c r="DXD16" s="251"/>
      <c r="DXE16" s="251"/>
      <c r="DXF16" s="251"/>
      <c r="DXG16" s="251"/>
      <c r="DXH16" s="251"/>
      <c r="DXI16" s="251"/>
      <c r="DXJ16" s="251"/>
      <c r="DXK16" s="251"/>
      <c r="DXL16" s="251"/>
      <c r="DXM16" s="251"/>
      <c r="DXN16" s="251"/>
      <c r="DXO16" s="251"/>
      <c r="DXP16" s="251"/>
      <c r="DXQ16" s="251"/>
      <c r="DXR16" s="251"/>
      <c r="DXS16" s="251"/>
      <c r="DXT16" s="251"/>
      <c r="DXU16" s="251"/>
      <c r="DXV16" s="251"/>
      <c r="DXW16" s="251"/>
      <c r="DXX16" s="251"/>
      <c r="DXY16" s="251"/>
      <c r="DXZ16" s="251"/>
      <c r="DYA16" s="251"/>
      <c r="DYB16" s="251"/>
      <c r="DYC16" s="251"/>
      <c r="DYD16" s="251"/>
      <c r="DYE16" s="251"/>
      <c r="DYF16" s="251"/>
      <c r="DYG16" s="251"/>
      <c r="DYH16" s="251"/>
      <c r="DYI16" s="251"/>
      <c r="DYJ16" s="251"/>
      <c r="DYK16" s="251"/>
      <c r="DYL16" s="251"/>
      <c r="DYM16" s="251"/>
      <c r="DYN16" s="251"/>
      <c r="DYO16" s="251"/>
      <c r="DYP16" s="251"/>
      <c r="DYQ16" s="251"/>
      <c r="DYR16" s="251"/>
      <c r="DYS16" s="251"/>
      <c r="DYT16" s="251"/>
      <c r="DYU16" s="251"/>
      <c r="DYV16" s="251"/>
      <c r="DYW16" s="251"/>
      <c r="DYX16" s="251"/>
      <c r="DYY16" s="251"/>
      <c r="DYZ16" s="251"/>
      <c r="DZA16" s="251"/>
      <c r="DZB16" s="251"/>
      <c r="DZC16" s="251"/>
      <c r="DZD16" s="251"/>
      <c r="DZE16" s="251"/>
      <c r="DZF16" s="251"/>
      <c r="DZG16" s="251"/>
      <c r="DZH16" s="251"/>
      <c r="DZI16" s="251"/>
      <c r="DZJ16" s="251"/>
      <c r="DZK16" s="251"/>
      <c r="DZL16" s="251"/>
      <c r="DZM16" s="251"/>
      <c r="DZN16" s="251"/>
      <c r="DZO16" s="251"/>
      <c r="DZP16" s="251"/>
      <c r="DZQ16" s="251"/>
      <c r="DZR16" s="251"/>
      <c r="DZS16" s="251"/>
      <c r="DZT16" s="251"/>
      <c r="DZU16" s="251"/>
      <c r="DZV16" s="251"/>
      <c r="DZW16" s="251"/>
      <c r="DZX16" s="251"/>
      <c r="DZY16" s="251"/>
      <c r="DZZ16" s="251"/>
      <c r="EAA16" s="251"/>
      <c r="EAB16" s="251"/>
      <c r="EAC16" s="251"/>
      <c r="EAD16" s="251"/>
      <c r="EAE16" s="251"/>
      <c r="EAF16" s="251"/>
      <c r="EAG16" s="251"/>
      <c r="EAH16" s="251"/>
      <c r="EAI16" s="251"/>
      <c r="EAJ16" s="251"/>
      <c r="EAK16" s="251"/>
      <c r="EAL16" s="251"/>
      <c r="EAM16" s="251"/>
      <c r="EAN16" s="251"/>
      <c r="EAO16" s="251"/>
      <c r="EAP16" s="251"/>
      <c r="EAQ16" s="251"/>
      <c r="EAR16" s="251"/>
      <c r="EAS16" s="251"/>
      <c r="EAT16" s="251"/>
      <c r="EAU16" s="251"/>
      <c r="EAV16" s="251"/>
      <c r="EAW16" s="251"/>
      <c r="EAX16" s="251"/>
      <c r="EAY16" s="251"/>
      <c r="EAZ16" s="251"/>
      <c r="EBA16" s="251"/>
      <c r="EBB16" s="251"/>
      <c r="EBC16" s="251"/>
      <c r="EBD16" s="251"/>
      <c r="EBE16" s="251"/>
      <c r="EBF16" s="251"/>
      <c r="EBG16" s="251"/>
      <c r="EBH16" s="251"/>
      <c r="EBI16" s="251"/>
      <c r="EBJ16" s="251"/>
      <c r="EBK16" s="251"/>
      <c r="EBL16" s="251"/>
      <c r="EBM16" s="251"/>
      <c r="EBN16" s="251"/>
      <c r="EBO16" s="251"/>
      <c r="EBP16" s="251"/>
      <c r="EBQ16" s="251"/>
      <c r="EBR16" s="251"/>
      <c r="EBS16" s="251"/>
      <c r="EBT16" s="251"/>
      <c r="EBU16" s="251"/>
      <c r="EBV16" s="251"/>
      <c r="EBW16" s="251"/>
      <c r="EBX16" s="251"/>
      <c r="EBY16" s="251"/>
      <c r="EBZ16" s="251"/>
      <c r="ECA16" s="251"/>
      <c r="ECB16" s="251"/>
      <c r="ECC16" s="251"/>
      <c r="ECD16" s="251"/>
      <c r="ECE16" s="251"/>
      <c r="ECF16" s="251"/>
      <c r="ECG16" s="251"/>
      <c r="ECH16" s="251"/>
      <c r="ECI16" s="251"/>
      <c r="ECJ16" s="251"/>
      <c r="ECK16" s="251"/>
      <c r="ECL16" s="251"/>
      <c r="ECM16" s="251"/>
      <c r="ECN16" s="251"/>
      <c r="ECO16" s="251"/>
      <c r="ECP16" s="251"/>
      <c r="ECQ16" s="251"/>
      <c r="ECR16" s="251"/>
      <c r="ECS16" s="251"/>
      <c r="ECT16" s="251"/>
      <c r="ECU16" s="251"/>
      <c r="ECV16" s="251"/>
      <c r="ECW16" s="251"/>
      <c r="ECX16" s="251"/>
      <c r="ECY16" s="251"/>
      <c r="ECZ16" s="251"/>
      <c r="EDA16" s="251"/>
      <c r="EDB16" s="251"/>
      <c r="EDC16" s="251"/>
      <c r="EDD16" s="251"/>
      <c r="EDE16" s="251"/>
      <c r="EDF16" s="251"/>
      <c r="EDG16" s="251"/>
      <c r="EDH16" s="251"/>
      <c r="EDI16" s="251"/>
      <c r="EDJ16" s="251"/>
      <c r="EDK16" s="251"/>
      <c r="EDL16" s="251"/>
      <c r="EDM16" s="251"/>
      <c r="EDN16" s="251"/>
      <c r="EDO16" s="251"/>
      <c r="EDP16" s="251"/>
      <c r="EDQ16" s="251"/>
      <c r="EDR16" s="251"/>
      <c r="EDS16" s="251"/>
      <c r="EDT16" s="251"/>
      <c r="EDU16" s="251"/>
      <c r="EDV16" s="251"/>
      <c r="EDW16" s="251"/>
      <c r="EDX16" s="251"/>
      <c r="EDY16" s="251"/>
      <c r="EDZ16" s="251"/>
      <c r="EEA16" s="251"/>
      <c r="EEB16" s="251"/>
      <c r="EEC16" s="251"/>
      <c r="EED16" s="251"/>
      <c r="EEE16" s="251"/>
      <c r="EEF16" s="251"/>
      <c r="EEG16" s="251"/>
      <c r="EEH16" s="251"/>
      <c r="EEI16" s="251"/>
      <c r="EEJ16" s="251"/>
      <c r="EEK16" s="251"/>
      <c r="EEL16" s="251"/>
      <c r="EEM16" s="251"/>
      <c r="EEN16" s="251"/>
      <c r="EEO16" s="251"/>
      <c r="EEP16" s="251"/>
      <c r="EEQ16" s="251"/>
      <c r="EER16" s="251"/>
      <c r="EES16" s="251"/>
      <c r="EET16" s="251"/>
      <c r="EEU16" s="251"/>
      <c r="EEV16" s="251"/>
      <c r="EEW16" s="251"/>
      <c r="EEX16" s="251"/>
      <c r="EEY16" s="251"/>
      <c r="EEZ16" s="251"/>
      <c r="EFA16" s="251"/>
      <c r="EFB16" s="251"/>
      <c r="EFC16" s="251"/>
      <c r="EFD16" s="251"/>
      <c r="EFE16" s="251"/>
      <c r="EFF16" s="251"/>
      <c r="EFG16" s="251"/>
      <c r="EFH16" s="251"/>
      <c r="EFI16" s="251"/>
      <c r="EFJ16" s="251"/>
      <c r="EFK16" s="251"/>
      <c r="EFL16" s="251"/>
      <c r="EFM16" s="251"/>
      <c r="EFN16" s="251"/>
      <c r="EFO16" s="251"/>
      <c r="EFP16" s="251"/>
      <c r="EFQ16" s="251"/>
      <c r="EFR16" s="251"/>
      <c r="EFS16" s="251"/>
      <c r="EFT16" s="251"/>
      <c r="EFU16" s="251"/>
      <c r="EFV16" s="251"/>
      <c r="EFW16" s="251"/>
      <c r="EFX16" s="251"/>
      <c r="EFY16" s="251"/>
      <c r="EFZ16" s="251"/>
      <c r="EGA16" s="251"/>
      <c r="EGB16" s="251"/>
      <c r="EGC16" s="251"/>
      <c r="EGD16" s="251"/>
      <c r="EGE16" s="251"/>
      <c r="EGF16" s="251"/>
      <c r="EGG16" s="251"/>
      <c r="EGH16" s="251"/>
      <c r="EGI16" s="251"/>
      <c r="EGJ16" s="251"/>
      <c r="EGK16" s="251"/>
      <c r="EGL16" s="251"/>
      <c r="EGM16" s="251"/>
      <c r="EGN16" s="251"/>
      <c r="EGO16" s="251"/>
      <c r="EGP16" s="251"/>
      <c r="EGQ16" s="251"/>
      <c r="EGR16" s="251"/>
      <c r="EGS16" s="251"/>
      <c r="EGT16" s="251"/>
      <c r="EGU16" s="251"/>
      <c r="EGV16" s="251"/>
      <c r="EGW16" s="251"/>
      <c r="EGX16" s="251"/>
      <c r="EGY16" s="251"/>
      <c r="EGZ16" s="251"/>
      <c r="EHA16" s="251"/>
      <c r="EHB16" s="251"/>
      <c r="EHC16" s="251"/>
      <c r="EHD16" s="251"/>
      <c r="EHE16" s="251"/>
      <c r="EHF16" s="251"/>
      <c r="EHG16" s="251"/>
      <c r="EHH16" s="251"/>
      <c r="EHI16" s="251"/>
      <c r="EHJ16" s="251"/>
      <c r="EHK16" s="251"/>
      <c r="EHL16" s="251"/>
      <c r="EHM16" s="251"/>
      <c r="EHN16" s="251"/>
      <c r="EHO16" s="251"/>
      <c r="EHP16" s="251"/>
      <c r="EHQ16" s="251"/>
      <c r="EHR16" s="251"/>
      <c r="EHS16" s="251"/>
      <c r="EHT16" s="251"/>
      <c r="EHU16" s="251"/>
      <c r="EHV16" s="251"/>
      <c r="EHW16" s="251"/>
      <c r="EHX16" s="251"/>
      <c r="EHY16" s="251"/>
      <c r="EHZ16" s="251"/>
      <c r="EIA16" s="251"/>
      <c r="EIB16" s="251"/>
      <c r="EIC16" s="251"/>
      <c r="EID16" s="251"/>
      <c r="EIE16" s="251"/>
      <c r="EIF16" s="251"/>
      <c r="EIG16" s="251"/>
      <c r="EIH16" s="251"/>
      <c r="EII16" s="251"/>
      <c r="EIJ16" s="251"/>
      <c r="EIK16" s="251"/>
      <c r="EIL16" s="251"/>
      <c r="EIM16" s="251"/>
      <c r="EIN16" s="251"/>
      <c r="EIO16" s="251"/>
      <c r="EIP16" s="251"/>
      <c r="EIQ16" s="251"/>
      <c r="EIR16" s="251"/>
      <c r="EIS16" s="251"/>
      <c r="EIT16" s="251"/>
      <c r="EIU16" s="251"/>
      <c r="EIV16" s="251"/>
      <c r="EIW16" s="251"/>
      <c r="EIX16" s="251"/>
      <c r="EIY16" s="251"/>
      <c r="EIZ16" s="251"/>
      <c r="EJA16" s="251"/>
      <c r="EJB16" s="251"/>
      <c r="EJC16" s="251"/>
      <c r="EJD16" s="251"/>
      <c r="EJE16" s="251"/>
      <c r="EJF16" s="251"/>
      <c r="EJG16" s="251"/>
      <c r="EJH16" s="251"/>
      <c r="EJI16" s="251"/>
      <c r="EJJ16" s="251"/>
      <c r="EJK16" s="251"/>
      <c r="EJL16" s="251"/>
      <c r="EJM16" s="251"/>
      <c r="EJN16" s="251"/>
      <c r="EJO16" s="251"/>
      <c r="EJP16" s="251"/>
      <c r="EJQ16" s="251"/>
      <c r="EJR16" s="251"/>
      <c r="EJS16" s="251"/>
      <c r="EJT16" s="251"/>
      <c r="EJU16" s="251"/>
      <c r="EJV16" s="251"/>
      <c r="EJW16" s="251"/>
      <c r="EJX16" s="251"/>
      <c r="EJY16" s="251"/>
      <c r="EJZ16" s="251"/>
      <c r="EKA16" s="251"/>
      <c r="EKB16" s="251"/>
      <c r="EKC16" s="251"/>
      <c r="EKD16" s="251"/>
      <c r="EKE16" s="251"/>
      <c r="EKF16" s="251"/>
      <c r="EKG16" s="251"/>
      <c r="EKH16" s="251"/>
      <c r="EKI16" s="251"/>
      <c r="EKJ16" s="251"/>
      <c r="EKK16" s="251"/>
      <c r="EKL16" s="251"/>
      <c r="EKM16" s="251"/>
      <c r="EKN16" s="251"/>
      <c r="EKO16" s="251"/>
      <c r="EKP16" s="251"/>
      <c r="EKQ16" s="251"/>
      <c r="EKR16" s="251"/>
      <c r="EKS16" s="251"/>
      <c r="EKT16" s="251"/>
      <c r="EKU16" s="251"/>
      <c r="EKV16" s="251"/>
      <c r="EKW16" s="251"/>
      <c r="EKX16" s="251"/>
      <c r="EKY16" s="251"/>
      <c r="EKZ16" s="251"/>
      <c r="ELA16" s="251"/>
      <c r="ELB16" s="251"/>
      <c r="ELC16" s="251"/>
      <c r="ELD16" s="251"/>
      <c r="ELE16" s="251"/>
      <c r="ELF16" s="251"/>
      <c r="ELG16" s="251"/>
      <c r="ELH16" s="251"/>
      <c r="ELI16" s="251"/>
      <c r="ELJ16" s="251"/>
      <c r="ELK16" s="251"/>
      <c r="ELL16" s="251"/>
      <c r="ELM16" s="251"/>
      <c r="ELN16" s="251"/>
      <c r="ELO16" s="251"/>
      <c r="ELP16" s="251"/>
      <c r="ELQ16" s="251"/>
      <c r="ELR16" s="251"/>
      <c r="ELS16" s="251"/>
      <c r="ELT16" s="251"/>
      <c r="ELU16" s="251"/>
      <c r="ELV16" s="251"/>
      <c r="ELW16" s="251"/>
      <c r="ELX16" s="251"/>
      <c r="ELY16" s="251"/>
      <c r="ELZ16" s="251"/>
      <c r="EMA16" s="251"/>
      <c r="EMB16" s="251"/>
      <c r="EMC16" s="251"/>
      <c r="EMD16" s="251"/>
      <c r="EME16" s="251"/>
      <c r="EMF16" s="251"/>
      <c r="EMG16" s="251"/>
      <c r="EMH16" s="251"/>
      <c r="EMI16" s="251"/>
      <c r="EMJ16" s="251"/>
      <c r="EMK16" s="251"/>
      <c r="EML16" s="251"/>
      <c r="EMM16" s="251"/>
      <c r="EMN16" s="251"/>
      <c r="EMO16" s="251"/>
      <c r="EMP16" s="251"/>
      <c r="EMQ16" s="251"/>
      <c r="EMR16" s="251"/>
      <c r="EMS16" s="251"/>
      <c r="EMT16" s="251"/>
      <c r="EMU16" s="251"/>
      <c r="EMV16" s="251"/>
      <c r="EMW16" s="251"/>
      <c r="EMX16" s="251"/>
      <c r="EMY16" s="251"/>
      <c r="EMZ16" s="251"/>
      <c r="ENA16" s="251"/>
      <c r="ENB16" s="251"/>
      <c r="ENC16" s="251"/>
      <c r="END16" s="251"/>
      <c r="ENE16" s="251"/>
      <c r="ENF16" s="251"/>
      <c r="ENG16" s="251"/>
      <c r="ENH16" s="251"/>
      <c r="ENI16" s="251"/>
      <c r="ENJ16" s="251"/>
      <c r="ENK16" s="251"/>
      <c r="ENL16" s="251"/>
      <c r="ENM16" s="251"/>
      <c r="ENN16" s="251"/>
      <c r="ENO16" s="251"/>
      <c r="ENP16" s="251"/>
      <c r="ENQ16" s="251"/>
      <c r="ENR16" s="251"/>
      <c r="ENS16" s="251"/>
      <c r="ENT16" s="251"/>
      <c r="ENU16" s="251"/>
      <c r="ENV16" s="251"/>
      <c r="ENW16" s="251"/>
      <c r="ENX16" s="251"/>
      <c r="ENY16" s="251"/>
      <c r="ENZ16" s="251"/>
      <c r="EOA16" s="251"/>
      <c r="EOB16" s="251"/>
      <c r="EOC16" s="251"/>
      <c r="EOD16" s="251"/>
      <c r="EOE16" s="251"/>
      <c r="EOF16" s="251"/>
      <c r="EOG16" s="251"/>
      <c r="EOH16" s="251"/>
      <c r="EOI16" s="251"/>
      <c r="EOJ16" s="251"/>
      <c r="EOK16" s="251"/>
      <c r="EOL16" s="251"/>
      <c r="EOM16" s="251"/>
      <c r="EON16" s="251"/>
      <c r="EOO16" s="251"/>
      <c r="EOP16" s="251"/>
      <c r="EOQ16" s="251"/>
      <c r="EOR16" s="251"/>
      <c r="EOS16" s="251"/>
      <c r="EOT16" s="251"/>
      <c r="EOU16" s="251"/>
      <c r="EOV16" s="251"/>
      <c r="EOW16" s="251"/>
      <c r="EOX16" s="251"/>
      <c r="EOY16" s="251"/>
      <c r="EOZ16" s="251"/>
      <c r="EPA16" s="251"/>
      <c r="EPB16" s="251"/>
      <c r="EPC16" s="251"/>
      <c r="EPD16" s="251"/>
      <c r="EPE16" s="251"/>
      <c r="EPF16" s="251"/>
      <c r="EPG16" s="251"/>
      <c r="EPH16" s="251"/>
      <c r="EPI16" s="251"/>
      <c r="EPJ16" s="251"/>
      <c r="EPK16" s="251"/>
      <c r="EPL16" s="251"/>
      <c r="EPM16" s="251"/>
      <c r="EPN16" s="251"/>
      <c r="EPO16" s="251"/>
      <c r="EPP16" s="251"/>
      <c r="EPQ16" s="251"/>
      <c r="EPR16" s="251"/>
      <c r="EPS16" s="251"/>
      <c r="EPT16" s="251"/>
      <c r="EPU16" s="251"/>
      <c r="EPV16" s="251"/>
      <c r="EPW16" s="251"/>
      <c r="EPX16" s="251"/>
      <c r="EPY16" s="251"/>
      <c r="EPZ16" s="251"/>
      <c r="EQA16" s="251"/>
      <c r="EQB16" s="251"/>
      <c r="EQC16" s="251"/>
      <c r="EQD16" s="251"/>
      <c r="EQE16" s="251"/>
      <c r="EQF16" s="251"/>
      <c r="EQG16" s="251"/>
      <c r="EQH16" s="251"/>
      <c r="EQI16" s="251"/>
      <c r="EQJ16" s="251"/>
      <c r="EQK16" s="251"/>
      <c r="EQL16" s="251"/>
      <c r="EQM16" s="251"/>
      <c r="EQN16" s="251"/>
      <c r="EQO16" s="251"/>
      <c r="EQP16" s="251"/>
      <c r="EQQ16" s="251"/>
      <c r="EQR16" s="251"/>
      <c r="EQS16" s="251"/>
      <c r="EQT16" s="251"/>
      <c r="EQU16" s="251"/>
      <c r="EQV16" s="251"/>
      <c r="EQW16" s="251"/>
      <c r="EQX16" s="251"/>
      <c r="EQY16" s="251"/>
      <c r="EQZ16" s="251"/>
      <c r="ERA16" s="251"/>
      <c r="ERB16" s="251"/>
      <c r="ERC16" s="251"/>
      <c r="ERD16" s="251"/>
      <c r="ERE16" s="251"/>
      <c r="ERF16" s="251"/>
      <c r="ERG16" s="251"/>
      <c r="ERH16" s="251"/>
      <c r="ERI16" s="251"/>
      <c r="ERJ16" s="251"/>
      <c r="ERK16" s="251"/>
      <c r="ERL16" s="251"/>
      <c r="ERM16" s="251"/>
      <c r="ERN16" s="251"/>
      <c r="ERO16" s="251"/>
      <c r="ERP16" s="251"/>
      <c r="ERQ16" s="251"/>
      <c r="ERR16" s="251"/>
      <c r="ERS16" s="251"/>
      <c r="ERT16" s="251"/>
      <c r="ERU16" s="251"/>
      <c r="ERV16" s="251"/>
      <c r="ERW16" s="251"/>
      <c r="ERX16" s="251"/>
      <c r="ERY16" s="251"/>
      <c r="ERZ16" s="251"/>
      <c r="ESA16" s="251"/>
      <c r="ESB16" s="251"/>
      <c r="ESC16" s="251"/>
      <c r="ESD16" s="251"/>
      <c r="ESE16" s="251"/>
      <c r="ESF16" s="251"/>
      <c r="ESG16" s="251"/>
      <c r="ESH16" s="251"/>
      <c r="ESI16" s="251"/>
      <c r="ESJ16" s="251"/>
      <c r="ESK16" s="251"/>
      <c r="ESL16" s="251"/>
      <c r="ESM16" s="251"/>
      <c r="ESN16" s="251"/>
      <c r="ESO16" s="251"/>
      <c r="ESP16" s="251"/>
      <c r="ESQ16" s="251"/>
      <c r="ESR16" s="251"/>
      <c r="ESS16" s="251"/>
      <c r="EST16" s="251"/>
      <c r="ESU16" s="251"/>
      <c r="ESV16" s="251"/>
      <c r="ESW16" s="251"/>
      <c r="ESX16" s="251"/>
      <c r="ESY16" s="251"/>
      <c r="ESZ16" s="251"/>
      <c r="ETA16" s="251"/>
      <c r="ETB16" s="251"/>
      <c r="ETC16" s="251"/>
      <c r="ETD16" s="251"/>
      <c r="ETE16" s="251"/>
      <c r="ETF16" s="251"/>
      <c r="ETG16" s="251"/>
      <c r="ETH16" s="251"/>
      <c r="ETI16" s="251"/>
      <c r="ETJ16" s="251"/>
      <c r="ETK16" s="251"/>
      <c r="ETL16" s="251"/>
      <c r="ETM16" s="251"/>
      <c r="ETN16" s="251"/>
      <c r="ETO16" s="251"/>
      <c r="ETP16" s="251"/>
      <c r="ETQ16" s="251"/>
      <c r="ETR16" s="251"/>
      <c r="ETS16" s="251"/>
      <c r="ETT16" s="251"/>
      <c r="ETU16" s="251"/>
      <c r="ETV16" s="251"/>
      <c r="ETW16" s="251"/>
      <c r="ETX16" s="251"/>
      <c r="ETY16" s="251"/>
      <c r="ETZ16" s="251"/>
      <c r="EUA16" s="251"/>
      <c r="EUB16" s="251"/>
      <c r="EUC16" s="251"/>
      <c r="EUD16" s="251"/>
      <c r="EUE16" s="251"/>
      <c r="EUF16" s="251"/>
      <c r="EUG16" s="251"/>
      <c r="EUH16" s="251"/>
      <c r="EUI16" s="251"/>
      <c r="EUJ16" s="251"/>
      <c r="EUK16" s="251"/>
      <c r="EUL16" s="251"/>
      <c r="EUM16" s="251"/>
      <c r="EUN16" s="251"/>
      <c r="EUO16" s="251"/>
      <c r="EUP16" s="251"/>
      <c r="EUQ16" s="251"/>
      <c r="EUR16" s="251"/>
      <c r="EUS16" s="251"/>
      <c r="EUT16" s="251"/>
      <c r="EUU16" s="251"/>
      <c r="EUV16" s="251"/>
      <c r="EUW16" s="251"/>
      <c r="EUX16" s="251"/>
      <c r="EUY16" s="251"/>
      <c r="EUZ16" s="251"/>
      <c r="EVA16" s="251"/>
      <c r="EVB16" s="251"/>
      <c r="EVC16" s="251"/>
      <c r="EVD16" s="251"/>
      <c r="EVE16" s="251"/>
      <c r="EVF16" s="251"/>
      <c r="EVG16" s="251"/>
      <c r="EVH16" s="251"/>
      <c r="EVI16" s="251"/>
      <c r="EVJ16" s="251"/>
      <c r="EVK16" s="251"/>
      <c r="EVL16" s="251"/>
      <c r="EVM16" s="251"/>
      <c r="EVN16" s="251"/>
      <c r="EVO16" s="251"/>
      <c r="EVP16" s="251"/>
      <c r="EVQ16" s="251"/>
      <c r="EVR16" s="251"/>
      <c r="EVS16" s="251"/>
      <c r="EVT16" s="251"/>
      <c r="EVU16" s="251"/>
      <c r="EVV16" s="251"/>
      <c r="EVW16" s="251"/>
      <c r="EVX16" s="251"/>
      <c r="EVY16" s="251"/>
      <c r="EVZ16" s="251"/>
      <c r="EWA16" s="251"/>
      <c r="EWB16" s="251"/>
      <c r="EWC16" s="251"/>
      <c r="EWD16" s="251"/>
      <c r="EWE16" s="251"/>
      <c r="EWF16" s="251"/>
      <c r="EWG16" s="251"/>
      <c r="EWH16" s="251"/>
      <c r="EWI16" s="251"/>
      <c r="EWJ16" s="251"/>
      <c r="EWK16" s="251"/>
      <c r="EWL16" s="251"/>
      <c r="EWM16" s="251"/>
      <c r="EWN16" s="251"/>
      <c r="EWO16" s="251"/>
      <c r="EWP16" s="251"/>
      <c r="EWQ16" s="251"/>
      <c r="EWR16" s="251"/>
      <c r="EWS16" s="251"/>
      <c r="EWT16" s="251"/>
      <c r="EWU16" s="251"/>
      <c r="EWV16" s="251"/>
      <c r="EWW16" s="251"/>
      <c r="EWX16" s="251"/>
      <c r="EWY16" s="251"/>
      <c r="EWZ16" s="251"/>
      <c r="EXA16" s="251"/>
      <c r="EXB16" s="251"/>
      <c r="EXC16" s="251"/>
      <c r="EXD16" s="251"/>
      <c r="EXE16" s="251"/>
      <c r="EXF16" s="251"/>
      <c r="EXG16" s="251"/>
      <c r="EXH16" s="251"/>
      <c r="EXI16" s="251"/>
      <c r="EXJ16" s="251"/>
      <c r="EXK16" s="251"/>
      <c r="EXL16" s="251"/>
      <c r="EXM16" s="251"/>
      <c r="EXN16" s="251"/>
      <c r="EXO16" s="251"/>
      <c r="EXP16" s="251"/>
      <c r="EXQ16" s="251"/>
      <c r="EXR16" s="251"/>
      <c r="EXS16" s="251"/>
      <c r="EXT16" s="251"/>
      <c r="EXU16" s="251"/>
      <c r="EXV16" s="251"/>
      <c r="EXW16" s="251"/>
      <c r="EXX16" s="251"/>
      <c r="EXY16" s="251"/>
      <c r="EXZ16" s="251"/>
      <c r="EYA16" s="251"/>
      <c r="EYB16" s="251"/>
      <c r="EYC16" s="251"/>
      <c r="EYD16" s="251"/>
      <c r="EYE16" s="251"/>
      <c r="EYF16" s="251"/>
      <c r="EYG16" s="251"/>
      <c r="EYH16" s="251"/>
      <c r="EYI16" s="251"/>
      <c r="EYJ16" s="251"/>
      <c r="EYK16" s="251"/>
      <c r="EYL16" s="251"/>
      <c r="EYM16" s="251"/>
      <c r="EYN16" s="251"/>
      <c r="EYO16" s="251"/>
      <c r="EYP16" s="251"/>
      <c r="EYQ16" s="251"/>
      <c r="EYR16" s="251"/>
      <c r="EYS16" s="251"/>
      <c r="EYT16" s="251"/>
      <c r="EYU16" s="251"/>
      <c r="EYV16" s="251"/>
      <c r="EYW16" s="251"/>
      <c r="EYX16" s="251"/>
      <c r="EYY16" s="251"/>
      <c r="EYZ16" s="251"/>
      <c r="EZA16" s="251"/>
      <c r="EZB16" s="251"/>
      <c r="EZC16" s="251"/>
      <c r="EZD16" s="251"/>
      <c r="EZE16" s="251"/>
      <c r="EZF16" s="251"/>
      <c r="EZG16" s="251"/>
      <c r="EZH16" s="251"/>
      <c r="EZI16" s="251"/>
      <c r="EZJ16" s="251"/>
      <c r="EZK16" s="251"/>
      <c r="EZL16" s="251"/>
      <c r="EZM16" s="251"/>
      <c r="EZN16" s="251"/>
      <c r="EZO16" s="251"/>
      <c r="EZP16" s="251"/>
      <c r="EZQ16" s="251"/>
      <c r="EZR16" s="251"/>
      <c r="EZS16" s="251"/>
      <c r="EZT16" s="251"/>
      <c r="EZU16" s="251"/>
      <c r="EZV16" s="251"/>
      <c r="EZW16" s="251"/>
      <c r="EZX16" s="251"/>
      <c r="EZY16" s="251"/>
      <c r="EZZ16" s="251"/>
      <c r="FAA16" s="251"/>
      <c r="FAB16" s="251"/>
      <c r="FAC16" s="251"/>
      <c r="FAD16" s="251"/>
      <c r="FAE16" s="251"/>
      <c r="FAF16" s="251"/>
      <c r="FAG16" s="251"/>
      <c r="FAH16" s="251"/>
      <c r="FAI16" s="251"/>
      <c r="FAJ16" s="251"/>
      <c r="FAK16" s="251"/>
      <c r="FAL16" s="251"/>
      <c r="FAM16" s="251"/>
      <c r="FAN16" s="251"/>
      <c r="FAO16" s="251"/>
      <c r="FAP16" s="251"/>
      <c r="FAQ16" s="251"/>
      <c r="FAR16" s="251"/>
      <c r="FAS16" s="251"/>
      <c r="FAT16" s="251"/>
      <c r="FAU16" s="251"/>
      <c r="FAV16" s="251"/>
      <c r="FAW16" s="251"/>
      <c r="FAX16" s="251"/>
      <c r="FAY16" s="251"/>
      <c r="FAZ16" s="251"/>
      <c r="FBA16" s="251"/>
      <c r="FBB16" s="251"/>
      <c r="FBC16" s="251"/>
      <c r="FBD16" s="251"/>
      <c r="FBE16" s="251"/>
      <c r="FBF16" s="251"/>
      <c r="FBG16" s="251"/>
      <c r="FBH16" s="251"/>
      <c r="FBI16" s="251"/>
      <c r="FBJ16" s="251"/>
      <c r="FBK16" s="251"/>
      <c r="FBL16" s="251"/>
      <c r="FBM16" s="251"/>
      <c r="FBN16" s="251"/>
      <c r="FBO16" s="251"/>
      <c r="FBP16" s="251"/>
      <c r="FBQ16" s="251"/>
      <c r="FBR16" s="251"/>
      <c r="FBS16" s="251"/>
      <c r="FBT16" s="251"/>
      <c r="FBU16" s="251"/>
      <c r="FBV16" s="251"/>
      <c r="FBW16" s="251"/>
      <c r="FBX16" s="251"/>
      <c r="FBY16" s="251"/>
      <c r="FBZ16" s="251"/>
      <c r="FCA16" s="251"/>
      <c r="FCB16" s="251"/>
      <c r="FCC16" s="251"/>
      <c r="FCD16" s="251"/>
      <c r="FCE16" s="251"/>
      <c r="FCF16" s="251"/>
      <c r="FCG16" s="251"/>
      <c r="FCH16" s="251"/>
      <c r="FCI16" s="251"/>
      <c r="FCJ16" s="251"/>
      <c r="FCK16" s="251"/>
      <c r="FCL16" s="251"/>
      <c r="FCM16" s="251"/>
      <c r="FCN16" s="251"/>
      <c r="FCO16" s="251"/>
      <c r="FCP16" s="251"/>
      <c r="FCQ16" s="251"/>
      <c r="FCR16" s="251"/>
      <c r="FCS16" s="251"/>
      <c r="FCT16" s="251"/>
      <c r="FCU16" s="251"/>
      <c r="FCV16" s="251"/>
      <c r="FCW16" s="251"/>
      <c r="FCX16" s="251"/>
      <c r="FCY16" s="251"/>
      <c r="FCZ16" s="251"/>
      <c r="FDA16" s="251"/>
      <c r="FDB16" s="251"/>
      <c r="FDC16" s="251"/>
      <c r="FDD16" s="251"/>
      <c r="FDE16" s="251"/>
      <c r="FDF16" s="251"/>
      <c r="FDG16" s="251"/>
      <c r="FDH16" s="251"/>
      <c r="FDI16" s="251"/>
      <c r="FDJ16" s="251"/>
      <c r="FDK16" s="251"/>
      <c r="FDL16" s="251"/>
      <c r="FDM16" s="251"/>
      <c r="FDN16" s="251"/>
      <c r="FDO16" s="251"/>
      <c r="FDP16" s="251"/>
      <c r="FDQ16" s="251"/>
      <c r="FDR16" s="251"/>
      <c r="FDS16" s="251"/>
      <c r="FDT16" s="251"/>
      <c r="FDU16" s="251"/>
      <c r="FDV16" s="251"/>
      <c r="FDW16" s="251"/>
      <c r="FDX16" s="251"/>
      <c r="FDY16" s="251"/>
      <c r="FDZ16" s="251"/>
      <c r="FEA16" s="251"/>
      <c r="FEB16" s="251"/>
      <c r="FEC16" s="251"/>
      <c r="FED16" s="251"/>
      <c r="FEE16" s="251"/>
      <c r="FEF16" s="251"/>
      <c r="FEG16" s="251"/>
      <c r="FEH16" s="251"/>
      <c r="FEI16" s="251"/>
      <c r="FEJ16" s="251"/>
      <c r="FEK16" s="251"/>
      <c r="FEL16" s="251"/>
      <c r="FEM16" s="251"/>
      <c r="FEN16" s="251"/>
      <c r="FEO16" s="251"/>
      <c r="FEP16" s="251"/>
      <c r="FEQ16" s="251"/>
      <c r="FER16" s="251"/>
      <c r="FES16" s="251"/>
      <c r="FET16" s="251"/>
      <c r="FEU16" s="251"/>
      <c r="FEV16" s="251"/>
      <c r="FEW16" s="251"/>
      <c r="FEX16" s="251"/>
      <c r="FEY16" s="251"/>
      <c r="FEZ16" s="251"/>
      <c r="FFA16" s="251"/>
      <c r="FFB16" s="251"/>
      <c r="FFC16" s="251"/>
      <c r="FFD16" s="251"/>
      <c r="FFE16" s="251"/>
      <c r="FFF16" s="251"/>
      <c r="FFG16" s="251"/>
      <c r="FFH16" s="251"/>
      <c r="FFI16" s="251"/>
      <c r="FFJ16" s="251"/>
      <c r="FFK16" s="251"/>
      <c r="FFL16" s="251"/>
      <c r="FFM16" s="251"/>
      <c r="FFN16" s="251"/>
      <c r="FFO16" s="251"/>
      <c r="FFP16" s="251"/>
      <c r="FFQ16" s="251"/>
      <c r="FFR16" s="251"/>
      <c r="FFS16" s="251"/>
      <c r="FFT16" s="251"/>
      <c r="FFU16" s="251"/>
      <c r="FFV16" s="251"/>
      <c r="FFW16" s="251"/>
      <c r="FFX16" s="251"/>
      <c r="FFY16" s="251"/>
      <c r="FFZ16" s="251"/>
      <c r="FGA16" s="251"/>
      <c r="FGB16" s="251"/>
      <c r="FGC16" s="251"/>
      <c r="FGD16" s="251"/>
      <c r="FGE16" s="251"/>
      <c r="FGF16" s="251"/>
      <c r="FGG16" s="251"/>
      <c r="FGH16" s="251"/>
      <c r="FGI16" s="251"/>
      <c r="FGJ16" s="251"/>
      <c r="FGK16" s="251"/>
      <c r="FGL16" s="251"/>
      <c r="FGM16" s="251"/>
      <c r="FGN16" s="251"/>
      <c r="FGO16" s="251"/>
      <c r="FGP16" s="251"/>
      <c r="FGQ16" s="251"/>
      <c r="FGR16" s="251"/>
      <c r="FGS16" s="251"/>
      <c r="FGT16" s="251"/>
      <c r="FGU16" s="251"/>
      <c r="FGV16" s="251"/>
      <c r="FGW16" s="251"/>
      <c r="FGX16" s="251"/>
      <c r="FGY16" s="251"/>
      <c r="FGZ16" s="251"/>
      <c r="FHA16" s="251"/>
      <c r="FHB16" s="251"/>
      <c r="FHC16" s="251"/>
      <c r="FHD16" s="251"/>
      <c r="FHE16" s="251"/>
      <c r="FHF16" s="251"/>
      <c r="FHG16" s="251"/>
      <c r="FHH16" s="251"/>
      <c r="FHI16" s="251"/>
      <c r="FHJ16" s="251"/>
      <c r="FHK16" s="251"/>
      <c r="FHL16" s="251"/>
      <c r="FHM16" s="251"/>
      <c r="FHN16" s="251"/>
      <c r="FHO16" s="251"/>
      <c r="FHP16" s="251"/>
      <c r="FHQ16" s="251"/>
      <c r="FHR16" s="251"/>
      <c r="FHS16" s="251"/>
      <c r="FHT16" s="251"/>
      <c r="FHU16" s="251"/>
      <c r="FHV16" s="251"/>
      <c r="FHW16" s="251"/>
      <c r="FHX16" s="251"/>
      <c r="FHY16" s="251"/>
      <c r="FHZ16" s="251"/>
      <c r="FIA16" s="251"/>
      <c r="FIB16" s="251"/>
      <c r="FIC16" s="251"/>
      <c r="FID16" s="251"/>
      <c r="FIE16" s="251"/>
      <c r="FIF16" s="251"/>
      <c r="FIG16" s="251"/>
      <c r="FIH16" s="251"/>
      <c r="FII16" s="251"/>
      <c r="FIJ16" s="251"/>
      <c r="FIK16" s="251"/>
      <c r="FIL16" s="251"/>
      <c r="FIM16" s="251"/>
      <c r="FIN16" s="251"/>
      <c r="FIO16" s="251"/>
      <c r="FIP16" s="251"/>
      <c r="FIQ16" s="251"/>
      <c r="FIR16" s="251"/>
      <c r="FIS16" s="251"/>
      <c r="FIT16" s="251"/>
      <c r="FIU16" s="251"/>
      <c r="FIV16" s="251"/>
      <c r="FIW16" s="251"/>
      <c r="FIX16" s="251"/>
      <c r="FIY16" s="251"/>
      <c r="FIZ16" s="251"/>
      <c r="FJA16" s="251"/>
      <c r="FJB16" s="251"/>
      <c r="FJC16" s="251"/>
      <c r="FJD16" s="251"/>
      <c r="FJE16" s="251"/>
      <c r="FJF16" s="251"/>
      <c r="FJG16" s="251"/>
      <c r="FJH16" s="251"/>
      <c r="FJI16" s="251"/>
      <c r="FJJ16" s="251"/>
      <c r="FJK16" s="251"/>
      <c r="FJL16" s="251"/>
      <c r="FJM16" s="251"/>
      <c r="FJN16" s="251"/>
      <c r="FJO16" s="251"/>
      <c r="FJP16" s="251"/>
      <c r="FJQ16" s="251"/>
      <c r="FJR16" s="251"/>
      <c r="FJS16" s="251"/>
      <c r="FJT16" s="251"/>
      <c r="FJU16" s="251"/>
      <c r="FJV16" s="251"/>
      <c r="FJW16" s="251"/>
      <c r="FJX16" s="251"/>
      <c r="FJY16" s="251"/>
      <c r="FJZ16" s="251"/>
      <c r="FKA16" s="251"/>
      <c r="FKB16" s="251"/>
      <c r="FKC16" s="251"/>
      <c r="FKD16" s="251"/>
      <c r="FKE16" s="251"/>
      <c r="FKF16" s="251"/>
      <c r="FKG16" s="251"/>
      <c r="FKH16" s="251"/>
      <c r="FKI16" s="251"/>
      <c r="FKJ16" s="251"/>
      <c r="FKK16" s="251"/>
      <c r="FKL16" s="251"/>
      <c r="FKM16" s="251"/>
      <c r="FKN16" s="251"/>
      <c r="FKO16" s="251"/>
      <c r="FKP16" s="251"/>
      <c r="FKQ16" s="251"/>
      <c r="FKR16" s="251"/>
      <c r="FKS16" s="251"/>
      <c r="FKT16" s="251"/>
      <c r="FKU16" s="251"/>
      <c r="FKV16" s="251"/>
      <c r="FKW16" s="251"/>
      <c r="FKX16" s="251"/>
      <c r="FKY16" s="251"/>
      <c r="FKZ16" s="251"/>
      <c r="FLA16" s="251"/>
      <c r="FLB16" s="251"/>
      <c r="FLC16" s="251"/>
      <c r="FLD16" s="251"/>
      <c r="FLE16" s="251"/>
      <c r="FLF16" s="251"/>
      <c r="FLG16" s="251"/>
      <c r="FLH16" s="251"/>
      <c r="FLI16" s="251"/>
      <c r="FLJ16" s="251"/>
      <c r="FLK16" s="251"/>
      <c r="FLL16" s="251"/>
      <c r="FLM16" s="251"/>
      <c r="FLN16" s="251"/>
      <c r="FLO16" s="251"/>
      <c r="FLP16" s="251"/>
      <c r="FLQ16" s="251"/>
      <c r="FLR16" s="251"/>
      <c r="FLS16" s="251"/>
      <c r="FLT16" s="251"/>
      <c r="FLU16" s="251"/>
      <c r="FLV16" s="251"/>
      <c r="FLW16" s="251"/>
      <c r="FLX16" s="251"/>
      <c r="FLY16" s="251"/>
      <c r="FLZ16" s="251"/>
      <c r="FMA16" s="251"/>
      <c r="FMB16" s="251"/>
      <c r="FMC16" s="251"/>
      <c r="FMD16" s="251"/>
      <c r="FME16" s="251"/>
      <c r="FMF16" s="251"/>
      <c r="FMG16" s="251"/>
      <c r="FMH16" s="251"/>
      <c r="FMI16" s="251"/>
      <c r="FMJ16" s="251"/>
      <c r="FMK16" s="251"/>
      <c r="FML16" s="251"/>
      <c r="FMM16" s="251"/>
      <c r="FMN16" s="251"/>
      <c r="FMO16" s="251"/>
      <c r="FMP16" s="251"/>
      <c r="FMQ16" s="251"/>
      <c r="FMR16" s="251"/>
      <c r="FMS16" s="251"/>
      <c r="FMT16" s="251"/>
      <c r="FMU16" s="251"/>
      <c r="FMV16" s="251"/>
      <c r="FMW16" s="251"/>
      <c r="FMX16" s="251"/>
      <c r="FMY16" s="251"/>
      <c r="FMZ16" s="251"/>
      <c r="FNA16" s="251"/>
      <c r="FNB16" s="251"/>
      <c r="FNC16" s="251"/>
      <c r="FND16" s="251"/>
      <c r="FNE16" s="251"/>
      <c r="FNF16" s="251"/>
      <c r="FNG16" s="251"/>
      <c r="FNH16" s="251"/>
      <c r="FNI16" s="251"/>
      <c r="FNJ16" s="251"/>
      <c r="FNK16" s="251"/>
      <c r="FNL16" s="251"/>
      <c r="FNM16" s="251"/>
      <c r="FNN16" s="251"/>
      <c r="FNO16" s="251"/>
      <c r="FNP16" s="251"/>
      <c r="FNQ16" s="251"/>
      <c r="FNR16" s="251"/>
      <c r="FNS16" s="251"/>
      <c r="FNT16" s="251"/>
      <c r="FNU16" s="251"/>
      <c r="FNV16" s="251"/>
      <c r="FNW16" s="251"/>
      <c r="FNX16" s="251"/>
      <c r="FNY16" s="251"/>
      <c r="FNZ16" s="251"/>
      <c r="FOA16" s="251"/>
      <c r="FOB16" s="251"/>
      <c r="FOC16" s="251"/>
      <c r="FOD16" s="251"/>
      <c r="FOE16" s="251"/>
      <c r="FOF16" s="251"/>
      <c r="FOG16" s="251"/>
      <c r="FOH16" s="251"/>
      <c r="FOI16" s="251"/>
      <c r="FOJ16" s="251"/>
      <c r="FOK16" s="251"/>
      <c r="FOL16" s="251"/>
      <c r="FOM16" s="251"/>
      <c r="FON16" s="251"/>
      <c r="FOO16" s="251"/>
      <c r="FOP16" s="251"/>
      <c r="FOQ16" s="251"/>
      <c r="FOR16" s="251"/>
      <c r="FOS16" s="251"/>
      <c r="FOT16" s="251"/>
      <c r="FOU16" s="251"/>
      <c r="FOV16" s="251"/>
      <c r="FOW16" s="251"/>
      <c r="FOX16" s="251"/>
      <c r="FOY16" s="251"/>
      <c r="FOZ16" s="251"/>
      <c r="FPA16" s="251"/>
      <c r="FPB16" s="251"/>
      <c r="FPC16" s="251"/>
      <c r="FPD16" s="251"/>
      <c r="FPE16" s="251"/>
      <c r="FPF16" s="251"/>
      <c r="FPG16" s="251"/>
      <c r="FPH16" s="251"/>
      <c r="FPI16" s="251"/>
      <c r="FPJ16" s="251"/>
      <c r="FPK16" s="251"/>
      <c r="FPL16" s="251"/>
      <c r="FPM16" s="251"/>
      <c r="FPN16" s="251"/>
      <c r="FPO16" s="251"/>
      <c r="FPP16" s="251"/>
      <c r="FPQ16" s="251"/>
      <c r="FPR16" s="251"/>
      <c r="FPS16" s="251"/>
      <c r="FPT16" s="251"/>
      <c r="FPU16" s="251"/>
      <c r="FPV16" s="251"/>
      <c r="FPW16" s="251"/>
      <c r="FPX16" s="251"/>
      <c r="FPY16" s="251"/>
      <c r="FPZ16" s="251"/>
      <c r="FQA16" s="251"/>
      <c r="FQB16" s="251"/>
      <c r="FQC16" s="251"/>
      <c r="FQD16" s="251"/>
      <c r="FQE16" s="251"/>
      <c r="FQF16" s="251"/>
      <c r="FQG16" s="251"/>
      <c r="FQH16" s="251"/>
      <c r="FQI16" s="251"/>
      <c r="FQJ16" s="251"/>
      <c r="FQK16" s="251"/>
      <c r="FQL16" s="251"/>
      <c r="FQM16" s="251"/>
      <c r="FQN16" s="251"/>
      <c r="FQO16" s="251"/>
      <c r="FQP16" s="251"/>
      <c r="FQQ16" s="251"/>
      <c r="FQR16" s="251"/>
      <c r="FQS16" s="251"/>
      <c r="FQT16" s="251"/>
      <c r="FQU16" s="251"/>
      <c r="FQV16" s="251"/>
      <c r="FQW16" s="251"/>
      <c r="FQX16" s="251"/>
      <c r="FQY16" s="251"/>
      <c r="FQZ16" s="251"/>
      <c r="FRA16" s="251"/>
      <c r="FRB16" s="251"/>
      <c r="FRC16" s="251"/>
      <c r="FRD16" s="251"/>
      <c r="FRE16" s="251"/>
      <c r="FRF16" s="251"/>
      <c r="FRG16" s="251"/>
      <c r="FRH16" s="251"/>
      <c r="FRI16" s="251"/>
      <c r="FRJ16" s="251"/>
      <c r="FRK16" s="251"/>
      <c r="FRL16" s="251"/>
      <c r="FRM16" s="251"/>
      <c r="FRN16" s="251"/>
      <c r="FRO16" s="251"/>
      <c r="FRP16" s="251"/>
      <c r="FRQ16" s="251"/>
      <c r="FRR16" s="251"/>
      <c r="FRS16" s="251"/>
      <c r="FRT16" s="251"/>
      <c r="FRU16" s="251"/>
      <c r="FRV16" s="251"/>
      <c r="FRW16" s="251"/>
      <c r="FRX16" s="251"/>
      <c r="FRY16" s="251"/>
      <c r="FRZ16" s="251"/>
      <c r="FSA16" s="251"/>
      <c r="FSB16" s="251"/>
      <c r="FSC16" s="251"/>
      <c r="FSD16" s="251"/>
      <c r="FSE16" s="251"/>
      <c r="FSF16" s="251"/>
      <c r="FSG16" s="251"/>
      <c r="FSH16" s="251"/>
      <c r="FSI16" s="251"/>
      <c r="FSJ16" s="251"/>
      <c r="FSK16" s="251"/>
      <c r="FSL16" s="251"/>
      <c r="FSM16" s="251"/>
      <c r="FSN16" s="251"/>
      <c r="FSO16" s="251"/>
      <c r="FSP16" s="251"/>
      <c r="FSQ16" s="251"/>
      <c r="FSR16" s="251"/>
      <c r="FSS16" s="251"/>
      <c r="FST16" s="251"/>
      <c r="FSU16" s="251"/>
      <c r="FSV16" s="251"/>
      <c r="FSW16" s="251"/>
      <c r="FSX16" s="251"/>
      <c r="FSY16" s="251"/>
      <c r="FSZ16" s="251"/>
      <c r="FTA16" s="251"/>
      <c r="FTB16" s="251"/>
      <c r="FTC16" s="251"/>
      <c r="FTD16" s="251"/>
      <c r="FTE16" s="251"/>
      <c r="FTF16" s="251"/>
      <c r="FTG16" s="251"/>
      <c r="FTH16" s="251"/>
      <c r="FTI16" s="251"/>
      <c r="FTJ16" s="251"/>
      <c r="FTK16" s="251"/>
      <c r="FTL16" s="251"/>
      <c r="FTM16" s="251"/>
      <c r="FTN16" s="251"/>
      <c r="FTO16" s="251"/>
      <c r="FTP16" s="251"/>
      <c r="FTQ16" s="251"/>
      <c r="FTR16" s="251"/>
      <c r="FTS16" s="251"/>
      <c r="FTT16" s="251"/>
      <c r="FTU16" s="251"/>
      <c r="FTV16" s="251"/>
      <c r="FTW16" s="251"/>
      <c r="FTX16" s="251"/>
      <c r="FTY16" s="251"/>
      <c r="FTZ16" s="251"/>
      <c r="FUA16" s="251"/>
      <c r="FUB16" s="251"/>
      <c r="FUC16" s="251"/>
      <c r="FUD16" s="251"/>
      <c r="FUE16" s="251"/>
      <c r="FUF16" s="251"/>
      <c r="FUG16" s="251"/>
      <c r="FUH16" s="251"/>
      <c r="FUI16" s="251"/>
      <c r="FUJ16" s="251"/>
      <c r="FUK16" s="251"/>
      <c r="FUL16" s="251"/>
      <c r="FUM16" s="251"/>
      <c r="FUN16" s="251"/>
      <c r="FUO16" s="251"/>
      <c r="FUP16" s="251"/>
      <c r="FUQ16" s="251"/>
      <c r="FUR16" s="251"/>
      <c r="FUS16" s="251"/>
      <c r="FUT16" s="251"/>
      <c r="FUU16" s="251"/>
      <c r="FUV16" s="251"/>
      <c r="FUW16" s="251"/>
      <c r="FUX16" s="251"/>
      <c r="FUY16" s="251"/>
      <c r="FUZ16" s="251"/>
      <c r="FVA16" s="251"/>
      <c r="FVB16" s="251"/>
      <c r="FVC16" s="251"/>
      <c r="FVD16" s="251"/>
      <c r="FVE16" s="251"/>
      <c r="FVF16" s="251"/>
      <c r="FVG16" s="251"/>
      <c r="FVH16" s="251"/>
      <c r="FVI16" s="251"/>
      <c r="FVJ16" s="251"/>
      <c r="FVK16" s="251"/>
      <c r="FVL16" s="251"/>
      <c r="FVM16" s="251"/>
      <c r="FVN16" s="251"/>
      <c r="FVO16" s="251"/>
      <c r="FVP16" s="251"/>
      <c r="FVQ16" s="251"/>
      <c r="FVR16" s="251"/>
      <c r="FVS16" s="251"/>
      <c r="FVT16" s="251"/>
      <c r="FVU16" s="251"/>
      <c r="FVV16" s="251"/>
      <c r="FVW16" s="251"/>
      <c r="FVX16" s="251"/>
      <c r="FVY16" s="251"/>
      <c r="FVZ16" s="251"/>
      <c r="FWA16" s="251"/>
      <c r="FWB16" s="251"/>
      <c r="FWC16" s="251"/>
      <c r="FWD16" s="251"/>
      <c r="FWE16" s="251"/>
      <c r="FWF16" s="251"/>
      <c r="FWG16" s="251"/>
      <c r="FWH16" s="251"/>
      <c r="FWI16" s="251"/>
      <c r="FWJ16" s="251"/>
      <c r="FWK16" s="251"/>
      <c r="FWL16" s="251"/>
      <c r="FWM16" s="251"/>
      <c r="FWN16" s="251"/>
      <c r="FWO16" s="251"/>
      <c r="FWP16" s="251"/>
      <c r="FWQ16" s="251"/>
      <c r="FWR16" s="251"/>
      <c r="FWS16" s="251"/>
      <c r="FWT16" s="251"/>
      <c r="FWU16" s="251"/>
      <c r="FWV16" s="251"/>
      <c r="FWW16" s="251"/>
      <c r="FWX16" s="251"/>
      <c r="FWY16" s="251"/>
      <c r="FWZ16" s="251"/>
      <c r="FXA16" s="251"/>
      <c r="FXB16" s="251"/>
      <c r="FXC16" s="251"/>
      <c r="FXD16" s="251"/>
      <c r="FXE16" s="251"/>
      <c r="FXF16" s="251"/>
      <c r="FXG16" s="251"/>
      <c r="FXH16" s="251"/>
      <c r="FXI16" s="251"/>
      <c r="FXJ16" s="251"/>
      <c r="FXK16" s="251"/>
      <c r="FXL16" s="251"/>
      <c r="FXM16" s="251"/>
      <c r="FXN16" s="251"/>
      <c r="FXO16" s="251"/>
      <c r="FXP16" s="251"/>
      <c r="FXQ16" s="251"/>
      <c r="FXR16" s="251"/>
      <c r="FXS16" s="251"/>
      <c r="FXT16" s="251"/>
      <c r="FXU16" s="251"/>
      <c r="FXV16" s="251"/>
      <c r="FXW16" s="251"/>
      <c r="FXX16" s="251"/>
      <c r="FXY16" s="251"/>
      <c r="FXZ16" s="251"/>
      <c r="FYA16" s="251"/>
      <c r="FYB16" s="251"/>
      <c r="FYC16" s="251"/>
      <c r="FYD16" s="251"/>
      <c r="FYE16" s="251"/>
      <c r="FYF16" s="251"/>
      <c r="FYG16" s="251"/>
      <c r="FYH16" s="251"/>
      <c r="FYI16" s="251"/>
      <c r="FYJ16" s="251"/>
      <c r="FYK16" s="251"/>
      <c r="FYL16" s="251"/>
      <c r="FYM16" s="251"/>
      <c r="FYN16" s="251"/>
      <c r="FYO16" s="251"/>
      <c r="FYP16" s="251"/>
      <c r="FYQ16" s="251"/>
      <c r="FYR16" s="251"/>
      <c r="FYS16" s="251"/>
      <c r="FYT16" s="251"/>
      <c r="FYU16" s="251"/>
      <c r="FYV16" s="251"/>
      <c r="FYW16" s="251"/>
      <c r="FYX16" s="251"/>
      <c r="FYY16" s="251"/>
      <c r="FYZ16" s="251"/>
      <c r="FZA16" s="251"/>
      <c r="FZB16" s="251"/>
      <c r="FZC16" s="251"/>
      <c r="FZD16" s="251"/>
      <c r="FZE16" s="251"/>
      <c r="FZF16" s="251"/>
      <c r="FZG16" s="251"/>
      <c r="FZH16" s="251"/>
      <c r="FZI16" s="251"/>
      <c r="FZJ16" s="251"/>
      <c r="FZK16" s="251"/>
      <c r="FZL16" s="251"/>
      <c r="FZM16" s="251"/>
      <c r="FZN16" s="251"/>
      <c r="FZO16" s="251"/>
      <c r="FZP16" s="251"/>
      <c r="FZQ16" s="251"/>
      <c r="FZR16" s="251"/>
      <c r="FZS16" s="251"/>
      <c r="FZT16" s="251"/>
      <c r="FZU16" s="251"/>
      <c r="FZV16" s="251"/>
      <c r="FZW16" s="251"/>
      <c r="FZX16" s="251"/>
      <c r="FZY16" s="251"/>
      <c r="FZZ16" s="251"/>
      <c r="GAA16" s="251"/>
      <c r="GAB16" s="251"/>
      <c r="GAC16" s="251"/>
      <c r="GAD16" s="251"/>
      <c r="GAE16" s="251"/>
      <c r="GAF16" s="251"/>
      <c r="GAG16" s="251"/>
      <c r="GAH16" s="251"/>
      <c r="GAI16" s="251"/>
      <c r="GAJ16" s="251"/>
      <c r="GAK16" s="251"/>
      <c r="GAL16" s="251"/>
      <c r="GAM16" s="251"/>
      <c r="GAN16" s="251"/>
      <c r="GAO16" s="251"/>
      <c r="GAP16" s="251"/>
      <c r="GAQ16" s="251"/>
      <c r="GAR16" s="251"/>
      <c r="GAS16" s="251"/>
      <c r="GAT16" s="251"/>
      <c r="GAU16" s="251"/>
      <c r="GAV16" s="251"/>
      <c r="GAW16" s="251"/>
      <c r="GAX16" s="251"/>
      <c r="GAY16" s="251"/>
      <c r="GAZ16" s="251"/>
      <c r="GBA16" s="251"/>
      <c r="GBB16" s="251"/>
      <c r="GBC16" s="251"/>
      <c r="GBD16" s="251"/>
      <c r="GBE16" s="251"/>
      <c r="GBF16" s="251"/>
      <c r="GBG16" s="251"/>
      <c r="GBH16" s="251"/>
      <c r="GBI16" s="251"/>
      <c r="GBJ16" s="251"/>
      <c r="GBK16" s="251"/>
      <c r="GBL16" s="251"/>
      <c r="GBM16" s="251"/>
      <c r="GBN16" s="251"/>
      <c r="GBO16" s="251"/>
      <c r="GBP16" s="251"/>
      <c r="GBQ16" s="251"/>
      <c r="GBR16" s="251"/>
      <c r="GBS16" s="251"/>
      <c r="GBT16" s="251"/>
      <c r="GBU16" s="251"/>
      <c r="GBV16" s="251"/>
      <c r="GBW16" s="251"/>
      <c r="GBX16" s="251"/>
      <c r="GBY16" s="251"/>
      <c r="GBZ16" s="251"/>
      <c r="GCA16" s="251"/>
      <c r="GCB16" s="251"/>
      <c r="GCC16" s="251"/>
      <c r="GCD16" s="251"/>
      <c r="GCE16" s="251"/>
      <c r="GCF16" s="251"/>
      <c r="GCG16" s="251"/>
      <c r="GCH16" s="251"/>
      <c r="GCI16" s="251"/>
      <c r="GCJ16" s="251"/>
      <c r="GCK16" s="251"/>
      <c r="GCL16" s="251"/>
      <c r="GCM16" s="251"/>
      <c r="GCN16" s="251"/>
      <c r="GCO16" s="251"/>
      <c r="GCP16" s="251"/>
      <c r="GCQ16" s="251"/>
      <c r="GCR16" s="251"/>
      <c r="GCS16" s="251"/>
      <c r="GCT16" s="251"/>
      <c r="GCU16" s="251"/>
      <c r="GCV16" s="251"/>
      <c r="GCW16" s="251"/>
      <c r="GCX16" s="251"/>
      <c r="GCY16" s="251"/>
      <c r="GCZ16" s="251"/>
      <c r="GDA16" s="251"/>
      <c r="GDB16" s="251"/>
      <c r="GDC16" s="251"/>
      <c r="GDD16" s="251"/>
      <c r="GDE16" s="251"/>
      <c r="GDF16" s="251"/>
      <c r="GDG16" s="251"/>
      <c r="GDH16" s="251"/>
      <c r="GDI16" s="251"/>
      <c r="GDJ16" s="251"/>
      <c r="GDK16" s="251"/>
      <c r="GDL16" s="251"/>
      <c r="GDM16" s="251"/>
      <c r="GDN16" s="251"/>
      <c r="GDO16" s="251"/>
      <c r="GDP16" s="251"/>
      <c r="GDQ16" s="251"/>
      <c r="GDR16" s="251"/>
      <c r="GDS16" s="251"/>
      <c r="GDT16" s="251"/>
      <c r="GDU16" s="251"/>
      <c r="GDV16" s="251"/>
      <c r="GDW16" s="251"/>
      <c r="GDX16" s="251"/>
      <c r="GDY16" s="251"/>
      <c r="GDZ16" s="251"/>
      <c r="GEA16" s="251"/>
      <c r="GEB16" s="251"/>
      <c r="GEC16" s="251"/>
      <c r="GED16" s="251"/>
      <c r="GEE16" s="251"/>
      <c r="GEF16" s="251"/>
      <c r="GEG16" s="251"/>
      <c r="GEH16" s="251"/>
      <c r="GEI16" s="251"/>
      <c r="GEJ16" s="251"/>
      <c r="GEK16" s="251"/>
      <c r="GEL16" s="251"/>
      <c r="GEM16" s="251"/>
      <c r="GEN16" s="251"/>
      <c r="GEO16" s="251"/>
      <c r="GEP16" s="251"/>
      <c r="GEQ16" s="251"/>
      <c r="GER16" s="251"/>
      <c r="GES16" s="251"/>
      <c r="GET16" s="251"/>
      <c r="GEU16" s="251"/>
      <c r="GEV16" s="251"/>
      <c r="GEW16" s="251"/>
      <c r="GEX16" s="251"/>
      <c r="GEY16" s="251"/>
      <c r="GEZ16" s="251"/>
      <c r="GFA16" s="251"/>
      <c r="GFB16" s="251"/>
      <c r="GFC16" s="251"/>
      <c r="GFD16" s="251"/>
      <c r="GFE16" s="251"/>
      <c r="GFF16" s="251"/>
      <c r="GFG16" s="251"/>
      <c r="GFH16" s="251"/>
      <c r="GFI16" s="251"/>
      <c r="GFJ16" s="251"/>
      <c r="GFK16" s="251"/>
      <c r="GFL16" s="251"/>
      <c r="GFM16" s="251"/>
      <c r="GFN16" s="251"/>
      <c r="GFO16" s="251"/>
      <c r="GFP16" s="251"/>
      <c r="GFQ16" s="251"/>
      <c r="GFR16" s="251"/>
      <c r="GFS16" s="251"/>
      <c r="GFT16" s="251"/>
      <c r="GFU16" s="251"/>
      <c r="GFV16" s="251"/>
      <c r="GFW16" s="251"/>
      <c r="GFX16" s="251"/>
      <c r="GFY16" s="251"/>
      <c r="GFZ16" s="251"/>
      <c r="GGA16" s="251"/>
      <c r="GGB16" s="251"/>
      <c r="GGC16" s="251"/>
      <c r="GGD16" s="251"/>
      <c r="GGE16" s="251"/>
      <c r="GGF16" s="251"/>
      <c r="GGG16" s="251"/>
      <c r="GGH16" s="251"/>
      <c r="GGI16" s="251"/>
      <c r="GGJ16" s="251"/>
      <c r="GGK16" s="251"/>
      <c r="GGL16" s="251"/>
      <c r="GGM16" s="251"/>
      <c r="GGN16" s="251"/>
      <c r="GGO16" s="251"/>
      <c r="GGP16" s="251"/>
      <c r="GGQ16" s="251"/>
      <c r="GGR16" s="251"/>
      <c r="GGS16" s="251"/>
      <c r="GGT16" s="251"/>
      <c r="GGU16" s="251"/>
      <c r="GGV16" s="251"/>
      <c r="GGW16" s="251"/>
      <c r="GGX16" s="251"/>
      <c r="GGY16" s="251"/>
      <c r="GGZ16" s="251"/>
      <c r="GHA16" s="251"/>
      <c r="GHB16" s="251"/>
      <c r="GHC16" s="251"/>
      <c r="GHD16" s="251"/>
      <c r="GHE16" s="251"/>
      <c r="GHF16" s="251"/>
      <c r="GHG16" s="251"/>
      <c r="GHH16" s="251"/>
      <c r="GHI16" s="251"/>
      <c r="GHJ16" s="251"/>
      <c r="GHK16" s="251"/>
      <c r="GHL16" s="251"/>
      <c r="GHM16" s="251"/>
      <c r="GHN16" s="251"/>
      <c r="GHO16" s="251"/>
      <c r="GHP16" s="251"/>
      <c r="GHQ16" s="251"/>
      <c r="GHR16" s="251"/>
      <c r="GHS16" s="251"/>
      <c r="GHT16" s="251"/>
      <c r="GHU16" s="251"/>
      <c r="GHV16" s="251"/>
      <c r="GHW16" s="251"/>
      <c r="GHX16" s="251"/>
      <c r="GHY16" s="251"/>
      <c r="GHZ16" s="251"/>
      <c r="GIA16" s="251"/>
      <c r="GIB16" s="251"/>
      <c r="GIC16" s="251"/>
      <c r="GID16" s="251"/>
      <c r="GIE16" s="251"/>
      <c r="GIF16" s="251"/>
      <c r="GIG16" s="251"/>
      <c r="GIH16" s="251"/>
      <c r="GII16" s="251"/>
      <c r="GIJ16" s="251"/>
      <c r="GIK16" s="251"/>
      <c r="GIL16" s="251"/>
      <c r="GIM16" s="251"/>
      <c r="GIN16" s="251"/>
      <c r="GIO16" s="251"/>
      <c r="GIP16" s="251"/>
      <c r="GIQ16" s="251"/>
      <c r="GIR16" s="251"/>
      <c r="GIS16" s="251"/>
      <c r="GIT16" s="251"/>
      <c r="GIU16" s="251"/>
      <c r="GIV16" s="251"/>
      <c r="GIW16" s="251"/>
      <c r="GIX16" s="251"/>
      <c r="GIY16" s="251"/>
      <c r="GIZ16" s="251"/>
      <c r="GJA16" s="251"/>
      <c r="GJB16" s="251"/>
      <c r="GJC16" s="251"/>
      <c r="GJD16" s="251"/>
      <c r="GJE16" s="251"/>
      <c r="GJF16" s="251"/>
      <c r="GJG16" s="251"/>
      <c r="GJH16" s="251"/>
      <c r="GJI16" s="251"/>
      <c r="GJJ16" s="251"/>
      <c r="GJK16" s="251"/>
      <c r="GJL16" s="251"/>
      <c r="GJM16" s="251"/>
      <c r="GJN16" s="251"/>
      <c r="GJO16" s="251"/>
      <c r="GJP16" s="251"/>
      <c r="GJQ16" s="251"/>
      <c r="GJR16" s="251"/>
      <c r="GJS16" s="251"/>
      <c r="GJT16" s="251"/>
      <c r="GJU16" s="251"/>
      <c r="GJV16" s="251"/>
      <c r="GJW16" s="251"/>
      <c r="GJX16" s="251"/>
      <c r="GJY16" s="251"/>
      <c r="GJZ16" s="251"/>
      <c r="GKA16" s="251"/>
      <c r="GKB16" s="251"/>
      <c r="GKC16" s="251"/>
      <c r="GKD16" s="251"/>
      <c r="GKE16" s="251"/>
      <c r="GKF16" s="251"/>
      <c r="GKG16" s="251"/>
      <c r="GKH16" s="251"/>
      <c r="GKI16" s="251"/>
      <c r="GKJ16" s="251"/>
      <c r="GKK16" s="251"/>
      <c r="GKL16" s="251"/>
      <c r="GKM16" s="251"/>
      <c r="GKN16" s="251"/>
      <c r="GKO16" s="251"/>
      <c r="GKP16" s="251"/>
      <c r="GKQ16" s="251"/>
      <c r="GKR16" s="251"/>
      <c r="GKS16" s="251"/>
      <c r="GKT16" s="251"/>
      <c r="GKU16" s="251"/>
      <c r="GKV16" s="251"/>
      <c r="GKW16" s="251"/>
      <c r="GKX16" s="251"/>
      <c r="GKY16" s="251"/>
      <c r="GKZ16" s="251"/>
      <c r="GLA16" s="251"/>
      <c r="GLB16" s="251"/>
      <c r="GLC16" s="251"/>
      <c r="GLD16" s="251"/>
      <c r="GLE16" s="251"/>
      <c r="GLF16" s="251"/>
      <c r="GLG16" s="251"/>
      <c r="GLH16" s="251"/>
      <c r="GLI16" s="251"/>
      <c r="GLJ16" s="251"/>
      <c r="GLK16" s="251"/>
      <c r="GLL16" s="251"/>
      <c r="GLM16" s="251"/>
      <c r="GLN16" s="251"/>
      <c r="GLO16" s="251"/>
      <c r="GLP16" s="251"/>
      <c r="GLQ16" s="251"/>
      <c r="GLR16" s="251"/>
      <c r="GLS16" s="251"/>
      <c r="GLT16" s="251"/>
      <c r="GLU16" s="251"/>
      <c r="GLV16" s="251"/>
      <c r="GLW16" s="251"/>
      <c r="GLX16" s="251"/>
      <c r="GLY16" s="251"/>
      <c r="GLZ16" s="251"/>
      <c r="GMA16" s="251"/>
      <c r="GMB16" s="251"/>
      <c r="GMC16" s="251"/>
      <c r="GMD16" s="251"/>
      <c r="GME16" s="251"/>
      <c r="GMF16" s="251"/>
      <c r="GMG16" s="251"/>
      <c r="GMH16" s="251"/>
      <c r="GMI16" s="251"/>
      <c r="GMJ16" s="251"/>
      <c r="GMK16" s="251"/>
      <c r="GML16" s="251"/>
      <c r="GMM16" s="251"/>
      <c r="GMN16" s="251"/>
      <c r="GMO16" s="251"/>
      <c r="GMP16" s="251"/>
      <c r="GMQ16" s="251"/>
      <c r="GMR16" s="251"/>
      <c r="GMS16" s="251"/>
      <c r="GMT16" s="251"/>
      <c r="GMU16" s="251"/>
      <c r="GMV16" s="251"/>
      <c r="GMW16" s="251"/>
      <c r="GMX16" s="251"/>
      <c r="GMY16" s="251"/>
      <c r="GMZ16" s="251"/>
      <c r="GNA16" s="251"/>
      <c r="GNB16" s="251"/>
      <c r="GNC16" s="251"/>
      <c r="GND16" s="251"/>
      <c r="GNE16" s="251"/>
      <c r="GNF16" s="251"/>
      <c r="GNG16" s="251"/>
      <c r="GNH16" s="251"/>
      <c r="GNI16" s="251"/>
      <c r="GNJ16" s="251"/>
      <c r="GNK16" s="251"/>
      <c r="GNL16" s="251"/>
      <c r="GNM16" s="251"/>
      <c r="GNN16" s="251"/>
      <c r="GNO16" s="251"/>
      <c r="GNP16" s="251"/>
      <c r="GNQ16" s="251"/>
      <c r="GNR16" s="251"/>
      <c r="GNS16" s="251"/>
      <c r="GNT16" s="251"/>
      <c r="GNU16" s="251"/>
      <c r="GNV16" s="251"/>
      <c r="GNW16" s="251"/>
      <c r="GNX16" s="251"/>
      <c r="GNY16" s="251"/>
      <c r="GNZ16" s="251"/>
      <c r="GOA16" s="251"/>
      <c r="GOB16" s="251"/>
      <c r="GOC16" s="251"/>
      <c r="GOD16" s="251"/>
      <c r="GOE16" s="251"/>
      <c r="GOF16" s="251"/>
      <c r="GOG16" s="251"/>
      <c r="GOH16" s="251"/>
      <c r="GOI16" s="251"/>
      <c r="GOJ16" s="251"/>
      <c r="GOK16" s="251"/>
      <c r="GOL16" s="251"/>
      <c r="GOM16" s="251"/>
      <c r="GON16" s="251"/>
      <c r="GOO16" s="251"/>
      <c r="GOP16" s="251"/>
      <c r="GOQ16" s="251"/>
      <c r="GOR16" s="251"/>
      <c r="GOS16" s="251"/>
      <c r="GOT16" s="251"/>
      <c r="GOU16" s="251"/>
      <c r="GOV16" s="251"/>
      <c r="GOW16" s="251"/>
      <c r="GOX16" s="251"/>
      <c r="GOY16" s="251"/>
      <c r="GOZ16" s="251"/>
      <c r="GPA16" s="251"/>
      <c r="GPB16" s="251"/>
      <c r="GPC16" s="251"/>
      <c r="GPD16" s="251"/>
      <c r="GPE16" s="251"/>
      <c r="GPF16" s="251"/>
      <c r="GPG16" s="251"/>
      <c r="GPH16" s="251"/>
      <c r="GPI16" s="251"/>
      <c r="GPJ16" s="251"/>
      <c r="GPK16" s="251"/>
      <c r="GPL16" s="251"/>
      <c r="GPM16" s="251"/>
      <c r="GPN16" s="251"/>
      <c r="GPO16" s="251"/>
      <c r="GPP16" s="251"/>
      <c r="GPQ16" s="251"/>
      <c r="GPR16" s="251"/>
      <c r="GPS16" s="251"/>
      <c r="GPT16" s="251"/>
      <c r="GPU16" s="251"/>
      <c r="GPV16" s="251"/>
      <c r="GPW16" s="251"/>
      <c r="GPX16" s="251"/>
      <c r="GPY16" s="251"/>
      <c r="GPZ16" s="251"/>
      <c r="GQA16" s="251"/>
      <c r="GQB16" s="251"/>
      <c r="GQC16" s="251"/>
      <c r="GQD16" s="251"/>
      <c r="GQE16" s="251"/>
      <c r="GQF16" s="251"/>
      <c r="GQG16" s="251"/>
      <c r="GQH16" s="251"/>
      <c r="GQI16" s="251"/>
      <c r="GQJ16" s="251"/>
      <c r="GQK16" s="251"/>
      <c r="GQL16" s="251"/>
      <c r="GQM16" s="251"/>
      <c r="GQN16" s="251"/>
      <c r="GQO16" s="251"/>
      <c r="GQP16" s="251"/>
      <c r="GQQ16" s="251"/>
      <c r="GQR16" s="251"/>
      <c r="GQS16" s="251"/>
      <c r="GQT16" s="251"/>
      <c r="GQU16" s="251"/>
      <c r="GQV16" s="251"/>
      <c r="GQW16" s="251"/>
      <c r="GQX16" s="251"/>
      <c r="GQY16" s="251"/>
      <c r="GQZ16" s="251"/>
      <c r="GRA16" s="251"/>
      <c r="GRB16" s="251"/>
      <c r="GRC16" s="251"/>
      <c r="GRD16" s="251"/>
      <c r="GRE16" s="251"/>
      <c r="GRF16" s="251"/>
      <c r="GRG16" s="251"/>
      <c r="GRH16" s="251"/>
      <c r="GRI16" s="251"/>
      <c r="GRJ16" s="251"/>
      <c r="GRK16" s="251"/>
      <c r="GRL16" s="251"/>
      <c r="GRM16" s="251"/>
      <c r="GRN16" s="251"/>
      <c r="GRO16" s="251"/>
      <c r="GRP16" s="251"/>
      <c r="GRQ16" s="251"/>
      <c r="GRR16" s="251"/>
      <c r="GRS16" s="251"/>
      <c r="GRT16" s="251"/>
      <c r="GRU16" s="251"/>
      <c r="GRV16" s="251"/>
      <c r="GRW16" s="251"/>
      <c r="GRX16" s="251"/>
      <c r="GRY16" s="251"/>
      <c r="GRZ16" s="251"/>
      <c r="GSA16" s="251"/>
      <c r="GSB16" s="251"/>
      <c r="GSC16" s="251"/>
      <c r="GSD16" s="251"/>
      <c r="GSE16" s="251"/>
      <c r="GSF16" s="251"/>
      <c r="GSG16" s="251"/>
      <c r="GSH16" s="251"/>
      <c r="GSI16" s="251"/>
      <c r="GSJ16" s="251"/>
      <c r="GSK16" s="251"/>
      <c r="GSL16" s="251"/>
      <c r="GSM16" s="251"/>
      <c r="GSN16" s="251"/>
      <c r="GSO16" s="251"/>
      <c r="GSP16" s="251"/>
      <c r="GSQ16" s="251"/>
      <c r="GSR16" s="251"/>
      <c r="GSS16" s="251"/>
      <c r="GST16" s="251"/>
      <c r="GSU16" s="251"/>
      <c r="GSV16" s="251"/>
      <c r="GSW16" s="251"/>
      <c r="GSX16" s="251"/>
      <c r="GSY16" s="251"/>
      <c r="GSZ16" s="251"/>
      <c r="GTA16" s="251"/>
      <c r="GTB16" s="251"/>
      <c r="GTC16" s="251"/>
      <c r="GTD16" s="251"/>
      <c r="GTE16" s="251"/>
      <c r="GTF16" s="251"/>
      <c r="GTG16" s="251"/>
      <c r="GTH16" s="251"/>
      <c r="GTI16" s="251"/>
      <c r="GTJ16" s="251"/>
      <c r="GTK16" s="251"/>
      <c r="GTL16" s="251"/>
      <c r="GTM16" s="251"/>
      <c r="GTN16" s="251"/>
      <c r="GTO16" s="251"/>
      <c r="GTP16" s="251"/>
      <c r="GTQ16" s="251"/>
      <c r="GTR16" s="251"/>
      <c r="GTS16" s="251"/>
      <c r="GTT16" s="251"/>
      <c r="GTU16" s="251"/>
      <c r="GTV16" s="251"/>
      <c r="GTW16" s="251"/>
      <c r="GTX16" s="251"/>
      <c r="GTY16" s="251"/>
      <c r="GTZ16" s="251"/>
      <c r="GUA16" s="251"/>
      <c r="GUB16" s="251"/>
      <c r="GUC16" s="251"/>
      <c r="GUD16" s="251"/>
      <c r="GUE16" s="251"/>
      <c r="GUF16" s="251"/>
      <c r="GUG16" s="251"/>
      <c r="GUH16" s="251"/>
      <c r="GUI16" s="251"/>
      <c r="GUJ16" s="251"/>
      <c r="GUK16" s="251"/>
      <c r="GUL16" s="251"/>
      <c r="GUM16" s="251"/>
      <c r="GUN16" s="251"/>
      <c r="GUO16" s="251"/>
      <c r="GUP16" s="251"/>
      <c r="GUQ16" s="251"/>
      <c r="GUR16" s="251"/>
      <c r="GUS16" s="251"/>
      <c r="GUT16" s="251"/>
      <c r="GUU16" s="251"/>
      <c r="GUV16" s="251"/>
      <c r="GUW16" s="251"/>
      <c r="GUX16" s="251"/>
      <c r="GUY16" s="251"/>
      <c r="GUZ16" s="251"/>
      <c r="GVA16" s="251"/>
      <c r="GVB16" s="251"/>
      <c r="GVC16" s="251"/>
      <c r="GVD16" s="251"/>
      <c r="GVE16" s="251"/>
      <c r="GVF16" s="251"/>
      <c r="GVG16" s="251"/>
      <c r="GVH16" s="251"/>
      <c r="GVI16" s="251"/>
      <c r="GVJ16" s="251"/>
      <c r="GVK16" s="251"/>
      <c r="GVL16" s="251"/>
      <c r="GVM16" s="251"/>
      <c r="GVN16" s="251"/>
      <c r="GVO16" s="251"/>
      <c r="GVP16" s="251"/>
      <c r="GVQ16" s="251"/>
      <c r="GVR16" s="251"/>
      <c r="GVS16" s="251"/>
      <c r="GVT16" s="251"/>
      <c r="GVU16" s="251"/>
      <c r="GVV16" s="251"/>
      <c r="GVW16" s="251"/>
      <c r="GVX16" s="251"/>
      <c r="GVY16" s="251"/>
      <c r="GVZ16" s="251"/>
      <c r="GWA16" s="251"/>
      <c r="GWB16" s="251"/>
      <c r="GWC16" s="251"/>
      <c r="GWD16" s="251"/>
      <c r="GWE16" s="251"/>
      <c r="GWF16" s="251"/>
      <c r="GWG16" s="251"/>
      <c r="GWH16" s="251"/>
      <c r="GWI16" s="251"/>
      <c r="GWJ16" s="251"/>
      <c r="GWK16" s="251"/>
      <c r="GWL16" s="251"/>
      <c r="GWM16" s="251"/>
      <c r="GWN16" s="251"/>
      <c r="GWO16" s="251"/>
      <c r="GWP16" s="251"/>
      <c r="GWQ16" s="251"/>
      <c r="GWR16" s="251"/>
      <c r="GWS16" s="251"/>
      <c r="GWT16" s="251"/>
      <c r="GWU16" s="251"/>
      <c r="GWV16" s="251"/>
      <c r="GWW16" s="251"/>
      <c r="GWX16" s="251"/>
      <c r="GWY16" s="251"/>
      <c r="GWZ16" s="251"/>
      <c r="GXA16" s="251"/>
      <c r="GXB16" s="251"/>
      <c r="GXC16" s="251"/>
      <c r="GXD16" s="251"/>
      <c r="GXE16" s="251"/>
      <c r="GXF16" s="251"/>
      <c r="GXG16" s="251"/>
      <c r="GXH16" s="251"/>
      <c r="GXI16" s="251"/>
      <c r="GXJ16" s="251"/>
      <c r="GXK16" s="251"/>
      <c r="GXL16" s="251"/>
      <c r="GXM16" s="251"/>
      <c r="GXN16" s="251"/>
      <c r="GXO16" s="251"/>
      <c r="GXP16" s="251"/>
      <c r="GXQ16" s="251"/>
      <c r="GXR16" s="251"/>
      <c r="GXS16" s="251"/>
      <c r="GXT16" s="251"/>
      <c r="GXU16" s="251"/>
      <c r="GXV16" s="251"/>
      <c r="GXW16" s="251"/>
      <c r="GXX16" s="251"/>
      <c r="GXY16" s="251"/>
      <c r="GXZ16" s="251"/>
      <c r="GYA16" s="251"/>
      <c r="GYB16" s="251"/>
      <c r="GYC16" s="251"/>
      <c r="GYD16" s="251"/>
      <c r="GYE16" s="251"/>
      <c r="GYF16" s="251"/>
      <c r="GYG16" s="251"/>
      <c r="GYH16" s="251"/>
      <c r="GYI16" s="251"/>
      <c r="GYJ16" s="251"/>
      <c r="GYK16" s="251"/>
      <c r="GYL16" s="251"/>
      <c r="GYM16" s="251"/>
      <c r="GYN16" s="251"/>
      <c r="GYO16" s="251"/>
      <c r="GYP16" s="251"/>
      <c r="GYQ16" s="251"/>
      <c r="GYR16" s="251"/>
      <c r="GYS16" s="251"/>
      <c r="GYT16" s="251"/>
      <c r="GYU16" s="251"/>
      <c r="GYV16" s="251"/>
      <c r="GYW16" s="251"/>
      <c r="GYX16" s="251"/>
      <c r="GYY16" s="251"/>
      <c r="GYZ16" s="251"/>
      <c r="GZA16" s="251"/>
      <c r="GZB16" s="251"/>
      <c r="GZC16" s="251"/>
      <c r="GZD16" s="251"/>
      <c r="GZE16" s="251"/>
      <c r="GZF16" s="251"/>
      <c r="GZG16" s="251"/>
      <c r="GZH16" s="251"/>
      <c r="GZI16" s="251"/>
      <c r="GZJ16" s="251"/>
      <c r="GZK16" s="251"/>
      <c r="GZL16" s="251"/>
      <c r="GZM16" s="251"/>
      <c r="GZN16" s="251"/>
      <c r="GZO16" s="251"/>
      <c r="GZP16" s="251"/>
      <c r="GZQ16" s="251"/>
      <c r="GZR16" s="251"/>
      <c r="GZS16" s="251"/>
      <c r="GZT16" s="251"/>
      <c r="GZU16" s="251"/>
      <c r="GZV16" s="251"/>
      <c r="GZW16" s="251"/>
      <c r="GZX16" s="251"/>
      <c r="GZY16" s="251"/>
      <c r="GZZ16" s="251"/>
      <c r="HAA16" s="251"/>
      <c r="HAB16" s="251"/>
      <c r="HAC16" s="251"/>
      <c r="HAD16" s="251"/>
      <c r="HAE16" s="251"/>
      <c r="HAF16" s="251"/>
      <c r="HAG16" s="251"/>
      <c r="HAH16" s="251"/>
      <c r="HAI16" s="251"/>
      <c r="HAJ16" s="251"/>
      <c r="HAK16" s="251"/>
      <c r="HAL16" s="251"/>
      <c r="HAM16" s="251"/>
      <c r="HAN16" s="251"/>
      <c r="HAO16" s="251"/>
      <c r="HAP16" s="251"/>
      <c r="HAQ16" s="251"/>
      <c r="HAR16" s="251"/>
      <c r="HAS16" s="251"/>
      <c r="HAT16" s="251"/>
      <c r="HAU16" s="251"/>
      <c r="HAV16" s="251"/>
      <c r="HAW16" s="251"/>
      <c r="HAX16" s="251"/>
      <c r="HAY16" s="251"/>
      <c r="HAZ16" s="251"/>
      <c r="HBA16" s="251"/>
      <c r="HBB16" s="251"/>
      <c r="HBC16" s="251"/>
      <c r="HBD16" s="251"/>
      <c r="HBE16" s="251"/>
      <c r="HBF16" s="251"/>
      <c r="HBG16" s="251"/>
      <c r="HBH16" s="251"/>
      <c r="HBI16" s="251"/>
      <c r="HBJ16" s="251"/>
      <c r="HBK16" s="251"/>
      <c r="HBL16" s="251"/>
      <c r="HBM16" s="251"/>
      <c r="HBN16" s="251"/>
      <c r="HBO16" s="251"/>
      <c r="HBP16" s="251"/>
      <c r="HBQ16" s="251"/>
      <c r="HBR16" s="251"/>
      <c r="HBS16" s="251"/>
      <c r="HBT16" s="251"/>
      <c r="HBU16" s="251"/>
      <c r="HBV16" s="251"/>
      <c r="HBW16" s="251"/>
      <c r="HBX16" s="251"/>
      <c r="HBY16" s="251"/>
      <c r="HBZ16" s="251"/>
      <c r="HCA16" s="251"/>
      <c r="HCB16" s="251"/>
      <c r="HCC16" s="251"/>
      <c r="HCD16" s="251"/>
      <c r="HCE16" s="251"/>
      <c r="HCF16" s="251"/>
      <c r="HCG16" s="251"/>
      <c r="HCH16" s="251"/>
      <c r="HCI16" s="251"/>
      <c r="HCJ16" s="251"/>
      <c r="HCK16" s="251"/>
      <c r="HCL16" s="251"/>
      <c r="HCM16" s="251"/>
      <c r="HCN16" s="251"/>
      <c r="HCO16" s="251"/>
      <c r="HCP16" s="251"/>
      <c r="HCQ16" s="251"/>
      <c r="HCR16" s="251"/>
      <c r="HCS16" s="251"/>
      <c r="HCT16" s="251"/>
      <c r="HCU16" s="251"/>
      <c r="HCV16" s="251"/>
      <c r="HCW16" s="251"/>
      <c r="HCX16" s="251"/>
      <c r="HCY16" s="251"/>
      <c r="HCZ16" s="251"/>
      <c r="HDA16" s="251"/>
      <c r="HDB16" s="251"/>
      <c r="HDC16" s="251"/>
      <c r="HDD16" s="251"/>
      <c r="HDE16" s="251"/>
      <c r="HDF16" s="251"/>
      <c r="HDG16" s="251"/>
      <c r="HDH16" s="251"/>
      <c r="HDI16" s="251"/>
      <c r="HDJ16" s="251"/>
      <c r="HDK16" s="251"/>
      <c r="HDL16" s="251"/>
      <c r="HDM16" s="251"/>
      <c r="HDN16" s="251"/>
      <c r="HDO16" s="251"/>
      <c r="HDP16" s="251"/>
      <c r="HDQ16" s="251"/>
      <c r="HDR16" s="251"/>
      <c r="HDS16" s="251"/>
      <c r="HDT16" s="251"/>
      <c r="HDU16" s="251"/>
      <c r="HDV16" s="251"/>
      <c r="HDW16" s="251"/>
      <c r="HDX16" s="251"/>
      <c r="HDY16" s="251"/>
      <c r="HDZ16" s="251"/>
      <c r="HEA16" s="251"/>
      <c r="HEB16" s="251"/>
      <c r="HEC16" s="251"/>
      <c r="HED16" s="251"/>
      <c r="HEE16" s="251"/>
      <c r="HEF16" s="251"/>
      <c r="HEG16" s="251"/>
      <c r="HEH16" s="251"/>
      <c r="HEI16" s="251"/>
      <c r="HEJ16" s="251"/>
      <c r="HEK16" s="251"/>
      <c r="HEL16" s="251"/>
      <c r="HEM16" s="251"/>
      <c r="HEN16" s="251"/>
      <c r="HEO16" s="251"/>
      <c r="HEP16" s="251"/>
      <c r="HEQ16" s="251"/>
      <c r="HER16" s="251"/>
      <c r="HES16" s="251"/>
      <c r="HET16" s="251"/>
      <c r="HEU16" s="251"/>
      <c r="HEV16" s="251"/>
      <c r="HEW16" s="251"/>
      <c r="HEX16" s="251"/>
      <c r="HEY16" s="251"/>
      <c r="HEZ16" s="251"/>
      <c r="HFA16" s="251"/>
      <c r="HFB16" s="251"/>
      <c r="HFC16" s="251"/>
      <c r="HFD16" s="251"/>
      <c r="HFE16" s="251"/>
      <c r="HFF16" s="251"/>
      <c r="HFG16" s="251"/>
      <c r="HFH16" s="251"/>
      <c r="HFI16" s="251"/>
      <c r="HFJ16" s="251"/>
      <c r="HFK16" s="251"/>
      <c r="HFL16" s="251"/>
      <c r="HFM16" s="251"/>
      <c r="HFN16" s="251"/>
      <c r="HFO16" s="251"/>
      <c r="HFP16" s="251"/>
      <c r="HFQ16" s="251"/>
      <c r="HFR16" s="251"/>
      <c r="HFS16" s="251"/>
      <c r="HFT16" s="251"/>
      <c r="HFU16" s="251"/>
      <c r="HFV16" s="251"/>
      <c r="HFW16" s="251"/>
      <c r="HFX16" s="251"/>
      <c r="HFY16" s="251"/>
      <c r="HFZ16" s="251"/>
      <c r="HGA16" s="251"/>
      <c r="HGB16" s="251"/>
      <c r="HGC16" s="251"/>
      <c r="HGD16" s="251"/>
      <c r="HGE16" s="251"/>
      <c r="HGF16" s="251"/>
      <c r="HGG16" s="251"/>
      <c r="HGH16" s="251"/>
      <c r="HGI16" s="251"/>
      <c r="HGJ16" s="251"/>
      <c r="HGK16" s="251"/>
      <c r="HGL16" s="251"/>
      <c r="HGM16" s="251"/>
      <c r="HGN16" s="251"/>
      <c r="HGO16" s="251"/>
      <c r="HGP16" s="251"/>
      <c r="HGQ16" s="251"/>
      <c r="HGR16" s="251"/>
      <c r="HGS16" s="251"/>
      <c r="HGT16" s="251"/>
      <c r="HGU16" s="251"/>
      <c r="HGV16" s="251"/>
      <c r="HGW16" s="251"/>
      <c r="HGX16" s="251"/>
      <c r="HGY16" s="251"/>
      <c r="HGZ16" s="251"/>
      <c r="HHA16" s="251"/>
      <c r="HHB16" s="251"/>
      <c r="HHC16" s="251"/>
      <c r="HHD16" s="251"/>
      <c r="HHE16" s="251"/>
      <c r="HHF16" s="251"/>
      <c r="HHG16" s="251"/>
      <c r="HHH16" s="251"/>
      <c r="HHI16" s="251"/>
      <c r="HHJ16" s="251"/>
      <c r="HHK16" s="251"/>
      <c r="HHL16" s="251"/>
      <c r="HHM16" s="251"/>
      <c r="HHN16" s="251"/>
      <c r="HHO16" s="251"/>
      <c r="HHP16" s="251"/>
      <c r="HHQ16" s="251"/>
      <c r="HHR16" s="251"/>
      <c r="HHS16" s="251"/>
      <c r="HHT16" s="251"/>
      <c r="HHU16" s="251"/>
      <c r="HHV16" s="251"/>
      <c r="HHW16" s="251"/>
      <c r="HHX16" s="251"/>
      <c r="HHY16" s="251"/>
      <c r="HHZ16" s="251"/>
      <c r="HIA16" s="251"/>
      <c r="HIB16" s="251"/>
      <c r="HIC16" s="251"/>
      <c r="HID16" s="251"/>
      <c r="HIE16" s="251"/>
      <c r="HIF16" s="251"/>
      <c r="HIG16" s="251"/>
      <c r="HIH16" s="251"/>
      <c r="HII16" s="251"/>
      <c r="HIJ16" s="251"/>
      <c r="HIK16" s="251"/>
      <c r="HIL16" s="251"/>
      <c r="HIM16" s="251"/>
      <c r="HIN16" s="251"/>
      <c r="HIO16" s="251"/>
      <c r="HIP16" s="251"/>
      <c r="HIQ16" s="251"/>
      <c r="HIR16" s="251"/>
      <c r="HIS16" s="251"/>
      <c r="HIT16" s="251"/>
      <c r="HIU16" s="251"/>
      <c r="HIV16" s="251"/>
      <c r="HIW16" s="251"/>
      <c r="HIX16" s="251"/>
      <c r="HIY16" s="251"/>
      <c r="HIZ16" s="251"/>
      <c r="HJA16" s="251"/>
      <c r="HJB16" s="251"/>
      <c r="HJC16" s="251"/>
      <c r="HJD16" s="251"/>
      <c r="HJE16" s="251"/>
      <c r="HJF16" s="251"/>
      <c r="HJG16" s="251"/>
      <c r="HJH16" s="251"/>
      <c r="HJI16" s="251"/>
      <c r="HJJ16" s="251"/>
      <c r="HJK16" s="251"/>
      <c r="HJL16" s="251"/>
      <c r="HJM16" s="251"/>
      <c r="HJN16" s="251"/>
      <c r="HJO16" s="251"/>
      <c r="HJP16" s="251"/>
      <c r="HJQ16" s="251"/>
      <c r="HJR16" s="251"/>
      <c r="HJS16" s="251"/>
      <c r="HJT16" s="251"/>
      <c r="HJU16" s="251"/>
      <c r="HJV16" s="251"/>
      <c r="HJW16" s="251"/>
      <c r="HJX16" s="251"/>
      <c r="HJY16" s="251"/>
      <c r="HJZ16" s="251"/>
      <c r="HKA16" s="251"/>
      <c r="HKB16" s="251"/>
      <c r="HKC16" s="251"/>
      <c r="HKD16" s="251"/>
      <c r="HKE16" s="251"/>
      <c r="HKF16" s="251"/>
      <c r="HKG16" s="251"/>
      <c r="HKH16" s="251"/>
      <c r="HKI16" s="251"/>
      <c r="HKJ16" s="251"/>
      <c r="HKK16" s="251"/>
      <c r="HKL16" s="251"/>
      <c r="HKM16" s="251"/>
      <c r="HKN16" s="251"/>
      <c r="HKO16" s="251"/>
      <c r="HKP16" s="251"/>
      <c r="HKQ16" s="251"/>
      <c r="HKR16" s="251"/>
      <c r="HKS16" s="251"/>
      <c r="HKT16" s="251"/>
      <c r="HKU16" s="251"/>
      <c r="HKV16" s="251"/>
      <c r="HKW16" s="251"/>
      <c r="HKX16" s="251"/>
      <c r="HKY16" s="251"/>
      <c r="HKZ16" s="251"/>
      <c r="HLA16" s="251"/>
      <c r="HLB16" s="251"/>
      <c r="HLC16" s="251"/>
      <c r="HLD16" s="251"/>
      <c r="HLE16" s="251"/>
      <c r="HLF16" s="251"/>
      <c r="HLG16" s="251"/>
      <c r="HLH16" s="251"/>
      <c r="HLI16" s="251"/>
      <c r="HLJ16" s="251"/>
      <c r="HLK16" s="251"/>
      <c r="HLL16" s="251"/>
      <c r="HLM16" s="251"/>
      <c r="HLN16" s="251"/>
      <c r="HLO16" s="251"/>
      <c r="HLP16" s="251"/>
      <c r="HLQ16" s="251"/>
      <c r="HLR16" s="251"/>
      <c r="HLS16" s="251"/>
      <c r="HLT16" s="251"/>
      <c r="HLU16" s="251"/>
      <c r="HLV16" s="251"/>
      <c r="HLW16" s="251"/>
      <c r="HLX16" s="251"/>
      <c r="HLY16" s="251"/>
      <c r="HLZ16" s="251"/>
      <c r="HMA16" s="251"/>
      <c r="HMB16" s="251"/>
      <c r="HMC16" s="251"/>
      <c r="HMD16" s="251"/>
      <c r="HME16" s="251"/>
      <c r="HMF16" s="251"/>
      <c r="HMG16" s="251"/>
      <c r="HMH16" s="251"/>
      <c r="HMI16" s="251"/>
      <c r="HMJ16" s="251"/>
      <c r="HMK16" s="251"/>
      <c r="HML16" s="251"/>
      <c r="HMM16" s="251"/>
      <c r="HMN16" s="251"/>
      <c r="HMO16" s="251"/>
      <c r="HMP16" s="251"/>
      <c r="HMQ16" s="251"/>
      <c r="HMR16" s="251"/>
      <c r="HMS16" s="251"/>
      <c r="HMT16" s="251"/>
      <c r="HMU16" s="251"/>
      <c r="HMV16" s="251"/>
      <c r="HMW16" s="251"/>
      <c r="HMX16" s="251"/>
      <c r="HMY16" s="251"/>
      <c r="HMZ16" s="251"/>
      <c r="HNA16" s="251"/>
      <c r="HNB16" s="251"/>
      <c r="HNC16" s="251"/>
      <c r="HND16" s="251"/>
      <c r="HNE16" s="251"/>
      <c r="HNF16" s="251"/>
      <c r="HNG16" s="251"/>
      <c r="HNH16" s="251"/>
      <c r="HNI16" s="251"/>
      <c r="HNJ16" s="251"/>
      <c r="HNK16" s="251"/>
      <c r="HNL16" s="251"/>
      <c r="HNM16" s="251"/>
      <c r="HNN16" s="251"/>
      <c r="HNO16" s="251"/>
      <c r="HNP16" s="251"/>
      <c r="HNQ16" s="251"/>
      <c r="HNR16" s="251"/>
      <c r="HNS16" s="251"/>
      <c r="HNT16" s="251"/>
      <c r="HNU16" s="251"/>
      <c r="HNV16" s="251"/>
      <c r="HNW16" s="251"/>
      <c r="HNX16" s="251"/>
      <c r="HNY16" s="251"/>
      <c r="HNZ16" s="251"/>
      <c r="HOA16" s="251"/>
      <c r="HOB16" s="251"/>
      <c r="HOC16" s="251"/>
      <c r="HOD16" s="251"/>
      <c r="HOE16" s="251"/>
      <c r="HOF16" s="251"/>
      <c r="HOG16" s="251"/>
      <c r="HOH16" s="251"/>
      <c r="HOI16" s="251"/>
      <c r="HOJ16" s="251"/>
      <c r="HOK16" s="251"/>
      <c r="HOL16" s="251"/>
      <c r="HOM16" s="251"/>
      <c r="HON16" s="251"/>
      <c r="HOO16" s="251"/>
      <c r="HOP16" s="251"/>
      <c r="HOQ16" s="251"/>
      <c r="HOR16" s="251"/>
      <c r="HOS16" s="251"/>
      <c r="HOT16" s="251"/>
      <c r="HOU16" s="251"/>
      <c r="HOV16" s="251"/>
      <c r="HOW16" s="251"/>
      <c r="HOX16" s="251"/>
      <c r="HOY16" s="251"/>
      <c r="HOZ16" s="251"/>
      <c r="HPA16" s="251"/>
      <c r="HPB16" s="251"/>
      <c r="HPC16" s="251"/>
      <c r="HPD16" s="251"/>
      <c r="HPE16" s="251"/>
      <c r="HPF16" s="251"/>
      <c r="HPG16" s="251"/>
      <c r="HPH16" s="251"/>
      <c r="HPI16" s="251"/>
      <c r="HPJ16" s="251"/>
      <c r="HPK16" s="251"/>
      <c r="HPL16" s="251"/>
      <c r="HPM16" s="251"/>
      <c r="HPN16" s="251"/>
      <c r="HPO16" s="251"/>
      <c r="HPP16" s="251"/>
      <c r="HPQ16" s="251"/>
      <c r="HPR16" s="251"/>
      <c r="HPS16" s="251"/>
      <c r="HPT16" s="251"/>
      <c r="HPU16" s="251"/>
      <c r="HPV16" s="251"/>
      <c r="HPW16" s="251"/>
      <c r="HPX16" s="251"/>
      <c r="HPY16" s="251"/>
      <c r="HPZ16" s="251"/>
      <c r="HQA16" s="251"/>
      <c r="HQB16" s="251"/>
      <c r="HQC16" s="251"/>
      <c r="HQD16" s="251"/>
      <c r="HQE16" s="251"/>
      <c r="HQF16" s="251"/>
      <c r="HQG16" s="251"/>
      <c r="HQH16" s="251"/>
      <c r="HQI16" s="251"/>
      <c r="HQJ16" s="251"/>
      <c r="HQK16" s="251"/>
      <c r="HQL16" s="251"/>
      <c r="HQM16" s="251"/>
      <c r="HQN16" s="251"/>
      <c r="HQO16" s="251"/>
      <c r="HQP16" s="251"/>
      <c r="HQQ16" s="251"/>
      <c r="HQR16" s="251"/>
      <c r="HQS16" s="251"/>
      <c r="HQT16" s="251"/>
      <c r="HQU16" s="251"/>
      <c r="HQV16" s="251"/>
      <c r="HQW16" s="251"/>
      <c r="HQX16" s="251"/>
      <c r="HQY16" s="251"/>
      <c r="HQZ16" s="251"/>
      <c r="HRA16" s="251"/>
      <c r="HRB16" s="251"/>
      <c r="HRC16" s="251"/>
      <c r="HRD16" s="251"/>
      <c r="HRE16" s="251"/>
      <c r="HRF16" s="251"/>
      <c r="HRG16" s="251"/>
      <c r="HRH16" s="251"/>
      <c r="HRI16" s="251"/>
      <c r="HRJ16" s="251"/>
      <c r="HRK16" s="251"/>
      <c r="HRL16" s="251"/>
      <c r="HRM16" s="251"/>
      <c r="HRN16" s="251"/>
      <c r="HRO16" s="251"/>
      <c r="HRP16" s="251"/>
      <c r="HRQ16" s="251"/>
      <c r="HRR16" s="251"/>
      <c r="HRS16" s="251"/>
      <c r="HRT16" s="251"/>
      <c r="HRU16" s="251"/>
      <c r="HRV16" s="251"/>
      <c r="HRW16" s="251"/>
      <c r="HRX16" s="251"/>
      <c r="HRY16" s="251"/>
      <c r="HRZ16" s="251"/>
      <c r="HSA16" s="251"/>
      <c r="HSB16" s="251"/>
      <c r="HSC16" s="251"/>
      <c r="HSD16" s="251"/>
      <c r="HSE16" s="251"/>
      <c r="HSF16" s="251"/>
      <c r="HSG16" s="251"/>
      <c r="HSH16" s="251"/>
      <c r="HSI16" s="251"/>
      <c r="HSJ16" s="251"/>
      <c r="HSK16" s="251"/>
      <c r="HSL16" s="251"/>
      <c r="HSM16" s="251"/>
      <c r="HSN16" s="251"/>
      <c r="HSO16" s="251"/>
      <c r="HSP16" s="251"/>
      <c r="HSQ16" s="251"/>
      <c r="HSR16" s="251"/>
      <c r="HSS16" s="251"/>
      <c r="HST16" s="251"/>
      <c r="HSU16" s="251"/>
      <c r="HSV16" s="251"/>
      <c r="HSW16" s="251"/>
      <c r="HSX16" s="251"/>
      <c r="HSY16" s="251"/>
      <c r="HSZ16" s="251"/>
      <c r="HTA16" s="251"/>
      <c r="HTB16" s="251"/>
      <c r="HTC16" s="251"/>
      <c r="HTD16" s="251"/>
      <c r="HTE16" s="251"/>
      <c r="HTF16" s="251"/>
      <c r="HTG16" s="251"/>
      <c r="HTH16" s="251"/>
      <c r="HTI16" s="251"/>
      <c r="HTJ16" s="251"/>
      <c r="HTK16" s="251"/>
      <c r="HTL16" s="251"/>
      <c r="HTM16" s="251"/>
      <c r="HTN16" s="251"/>
      <c r="HTO16" s="251"/>
      <c r="HTP16" s="251"/>
      <c r="HTQ16" s="251"/>
      <c r="HTR16" s="251"/>
      <c r="HTS16" s="251"/>
      <c r="HTT16" s="251"/>
      <c r="HTU16" s="251"/>
      <c r="HTV16" s="251"/>
      <c r="HTW16" s="251"/>
      <c r="HTX16" s="251"/>
      <c r="HTY16" s="251"/>
      <c r="HTZ16" s="251"/>
      <c r="HUA16" s="251"/>
      <c r="HUB16" s="251"/>
      <c r="HUC16" s="251"/>
      <c r="HUD16" s="251"/>
      <c r="HUE16" s="251"/>
      <c r="HUF16" s="251"/>
      <c r="HUG16" s="251"/>
      <c r="HUH16" s="251"/>
      <c r="HUI16" s="251"/>
      <c r="HUJ16" s="251"/>
      <c r="HUK16" s="251"/>
      <c r="HUL16" s="251"/>
      <c r="HUM16" s="251"/>
      <c r="HUN16" s="251"/>
      <c r="HUO16" s="251"/>
      <c r="HUP16" s="251"/>
      <c r="HUQ16" s="251"/>
      <c r="HUR16" s="251"/>
      <c r="HUS16" s="251"/>
      <c r="HUT16" s="251"/>
      <c r="HUU16" s="251"/>
      <c r="HUV16" s="251"/>
      <c r="HUW16" s="251"/>
      <c r="HUX16" s="251"/>
      <c r="HUY16" s="251"/>
      <c r="HUZ16" s="251"/>
      <c r="HVA16" s="251"/>
      <c r="HVB16" s="251"/>
      <c r="HVC16" s="251"/>
      <c r="HVD16" s="251"/>
      <c r="HVE16" s="251"/>
      <c r="HVF16" s="251"/>
      <c r="HVG16" s="251"/>
      <c r="HVH16" s="251"/>
      <c r="HVI16" s="251"/>
      <c r="HVJ16" s="251"/>
      <c r="HVK16" s="251"/>
      <c r="HVL16" s="251"/>
      <c r="HVM16" s="251"/>
      <c r="HVN16" s="251"/>
      <c r="HVO16" s="251"/>
      <c r="HVP16" s="251"/>
      <c r="HVQ16" s="251"/>
      <c r="HVR16" s="251"/>
      <c r="HVS16" s="251"/>
      <c r="HVT16" s="251"/>
      <c r="HVU16" s="251"/>
      <c r="HVV16" s="251"/>
      <c r="HVW16" s="251"/>
      <c r="HVX16" s="251"/>
      <c r="HVY16" s="251"/>
      <c r="HVZ16" s="251"/>
      <c r="HWA16" s="251"/>
      <c r="HWB16" s="251"/>
      <c r="HWC16" s="251"/>
      <c r="HWD16" s="251"/>
      <c r="HWE16" s="251"/>
      <c r="HWF16" s="251"/>
      <c r="HWG16" s="251"/>
      <c r="HWH16" s="251"/>
      <c r="HWI16" s="251"/>
      <c r="HWJ16" s="251"/>
      <c r="HWK16" s="251"/>
      <c r="HWL16" s="251"/>
      <c r="HWM16" s="251"/>
      <c r="HWN16" s="251"/>
      <c r="HWO16" s="251"/>
      <c r="HWP16" s="251"/>
      <c r="HWQ16" s="251"/>
      <c r="HWR16" s="251"/>
      <c r="HWS16" s="251"/>
      <c r="HWT16" s="251"/>
      <c r="HWU16" s="251"/>
      <c r="HWV16" s="251"/>
      <c r="HWW16" s="251"/>
      <c r="HWX16" s="251"/>
      <c r="HWY16" s="251"/>
      <c r="HWZ16" s="251"/>
      <c r="HXA16" s="251"/>
      <c r="HXB16" s="251"/>
      <c r="HXC16" s="251"/>
      <c r="HXD16" s="251"/>
      <c r="HXE16" s="251"/>
      <c r="HXF16" s="251"/>
      <c r="HXG16" s="251"/>
      <c r="HXH16" s="251"/>
      <c r="HXI16" s="251"/>
      <c r="HXJ16" s="251"/>
      <c r="HXK16" s="251"/>
      <c r="HXL16" s="251"/>
      <c r="HXM16" s="251"/>
      <c r="HXN16" s="251"/>
      <c r="HXO16" s="251"/>
      <c r="HXP16" s="251"/>
      <c r="HXQ16" s="251"/>
      <c r="HXR16" s="251"/>
      <c r="HXS16" s="251"/>
      <c r="HXT16" s="251"/>
      <c r="HXU16" s="251"/>
      <c r="HXV16" s="251"/>
      <c r="HXW16" s="251"/>
      <c r="HXX16" s="251"/>
      <c r="HXY16" s="251"/>
      <c r="HXZ16" s="251"/>
      <c r="HYA16" s="251"/>
      <c r="HYB16" s="251"/>
      <c r="HYC16" s="251"/>
      <c r="HYD16" s="251"/>
      <c r="HYE16" s="251"/>
      <c r="HYF16" s="251"/>
      <c r="HYG16" s="251"/>
      <c r="HYH16" s="251"/>
      <c r="HYI16" s="251"/>
      <c r="HYJ16" s="251"/>
      <c r="HYK16" s="251"/>
      <c r="HYL16" s="251"/>
      <c r="HYM16" s="251"/>
      <c r="HYN16" s="251"/>
      <c r="HYO16" s="251"/>
      <c r="HYP16" s="251"/>
      <c r="HYQ16" s="251"/>
      <c r="HYR16" s="251"/>
      <c r="HYS16" s="251"/>
      <c r="HYT16" s="251"/>
      <c r="HYU16" s="251"/>
      <c r="HYV16" s="251"/>
      <c r="HYW16" s="251"/>
      <c r="HYX16" s="251"/>
      <c r="HYY16" s="251"/>
      <c r="HYZ16" s="251"/>
      <c r="HZA16" s="251"/>
      <c r="HZB16" s="251"/>
      <c r="HZC16" s="251"/>
      <c r="HZD16" s="251"/>
      <c r="HZE16" s="251"/>
      <c r="HZF16" s="251"/>
      <c r="HZG16" s="251"/>
      <c r="HZH16" s="251"/>
      <c r="HZI16" s="251"/>
      <c r="HZJ16" s="251"/>
      <c r="HZK16" s="251"/>
      <c r="HZL16" s="251"/>
      <c r="HZM16" s="251"/>
      <c r="HZN16" s="251"/>
      <c r="HZO16" s="251"/>
      <c r="HZP16" s="251"/>
      <c r="HZQ16" s="251"/>
      <c r="HZR16" s="251"/>
      <c r="HZS16" s="251"/>
      <c r="HZT16" s="251"/>
      <c r="HZU16" s="251"/>
      <c r="HZV16" s="251"/>
      <c r="HZW16" s="251"/>
      <c r="HZX16" s="251"/>
      <c r="HZY16" s="251"/>
      <c r="HZZ16" s="251"/>
      <c r="IAA16" s="251"/>
      <c r="IAB16" s="251"/>
      <c r="IAC16" s="251"/>
      <c r="IAD16" s="251"/>
      <c r="IAE16" s="251"/>
      <c r="IAF16" s="251"/>
      <c r="IAG16" s="251"/>
      <c r="IAH16" s="251"/>
      <c r="IAI16" s="251"/>
      <c r="IAJ16" s="251"/>
      <c r="IAK16" s="251"/>
      <c r="IAL16" s="251"/>
      <c r="IAM16" s="251"/>
      <c r="IAN16" s="251"/>
      <c r="IAO16" s="251"/>
      <c r="IAP16" s="251"/>
      <c r="IAQ16" s="251"/>
      <c r="IAR16" s="251"/>
      <c r="IAS16" s="251"/>
      <c r="IAT16" s="251"/>
      <c r="IAU16" s="251"/>
      <c r="IAV16" s="251"/>
      <c r="IAW16" s="251"/>
      <c r="IAX16" s="251"/>
      <c r="IAY16" s="251"/>
      <c r="IAZ16" s="251"/>
      <c r="IBA16" s="251"/>
      <c r="IBB16" s="251"/>
      <c r="IBC16" s="251"/>
      <c r="IBD16" s="251"/>
      <c r="IBE16" s="251"/>
      <c r="IBF16" s="251"/>
      <c r="IBG16" s="251"/>
      <c r="IBH16" s="251"/>
      <c r="IBI16" s="251"/>
      <c r="IBJ16" s="251"/>
      <c r="IBK16" s="251"/>
      <c r="IBL16" s="251"/>
      <c r="IBM16" s="251"/>
      <c r="IBN16" s="251"/>
      <c r="IBO16" s="251"/>
      <c r="IBP16" s="251"/>
      <c r="IBQ16" s="251"/>
      <c r="IBR16" s="251"/>
      <c r="IBS16" s="251"/>
      <c r="IBT16" s="251"/>
      <c r="IBU16" s="251"/>
      <c r="IBV16" s="251"/>
      <c r="IBW16" s="251"/>
      <c r="IBX16" s="251"/>
      <c r="IBY16" s="251"/>
      <c r="IBZ16" s="251"/>
      <c r="ICA16" s="251"/>
      <c r="ICB16" s="251"/>
      <c r="ICC16" s="251"/>
      <c r="ICD16" s="251"/>
      <c r="ICE16" s="251"/>
      <c r="ICF16" s="251"/>
      <c r="ICG16" s="251"/>
      <c r="ICH16" s="251"/>
      <c r="ICI16" s="251"/>
      <c r="ICJ16" s="251"/>
      <c r="ICK16" s="251"/>
      <c r="ICL16" s="251"/>
      <c r="ICM16" s="251"/>
      <c r="ICN16" s="251"/>
      <c r="ICO16" s="251"/>
      <c r="ICP16" s="251"/>
      <c r="ICQ16" s="251"/>
      <c r="ICR16" s="251"/>
      <c r="ICS16" s="251"/>
      <c r="ICT16" s="251"/>
      <c r="ICU16" s="251"/>
      <c r="ICV16" s="251"/>
      <c r="ICW16" s="251"/>
      <c r="ICX16" s="251"/>
      <c r="ICY16" s="251"/>
      <c r="ICZ16" s="251"/>
      <c r="IDA16" s="251"/>
      <c r="IDB16" s="251"/>
      <c r="IDC16" s="251"/>
      <c r="IDD16" s="251"/>
      <c r="IDE16" s="251"/>
      <c r="IDF16" s="251"/>
      <c r="IDG16" s="251"/>
      <c r="IDH16" s="251"/>
      <c r="IDI16" s="251"/>
      <c r="IDJ16" s="251"/>
      <c r="IDK16" s="251"/>
      <c r="IDL16" s="251"/>
      <c r="IDM16" s="251"/>
      <c r="IDN16" s="251"/>
      <c r="IDO16" s="251"/>
      <c r="IDP16" s="251"/>
      <c r="IDQ16" s="251"/>
      <c r="IDR16" s="251"/>
      <c r="IDS16" s="251"/>
      <c r="IDT16" s="251"/>
      <c r="IDU16" s="251"/>
      <c r="IDV16" s="251"/>
      <c r="IDW16" s="251"/>
      <c r="IDX16" s="251"/>
      <c r="IDY16" s="251"/>
      <c r="IDZ16" s="251"/>
      <c r="IEA16" s="251"/>
      <c r="IEB16" s="251"/>
      <c r="IEC16" s="251"/>
      <c r="IED16" s="251"/>
      <c r="IEE16" s="251"/>
      <c r="IEF16" s="251"/>
      <c r="IEG16" s="251"/>
      <c r="IEH16" s="251"/>
      <c r="IEI16" s="251"/>
      <c r="IEJ16" s="251"/>
      <c r="IEK16" s="251"/>
      <c r="IEL16" s="251"/>
      <c r="IEM16" s="251"/>
      <c r="IEN16" s="251"/>
      <c r="IEO16" s="251"/>
      <c r="IEP16" s="251"/>
      <c r="IEQ16" s="251"/>
      <c r="IER16" s="251"/>
      <c r="IES16" s="251"/>
      <c r="IET16" s="251"/>
      <c r="IEU16" s="251"/>
      <c r="IEV16" s="251"/>
      <c r="IEW16" s="251"/>
      <c r="IEX16" s="251"/>
      <c r="IEY16" s="251"/>
      <c r="IEZ16" s="251"/>
      <c r="IFA16" s="251"/>
      <c r="IFB16" s="251"/>
      <c r="IFC16" s="251"/>
      <c r="IFD16" s="251"/>
      <c r="IFE16" s="251"/>
      <c r="IFF16" s="251"/>
      <c r="IFG16" s="251"/>
      <c r="IFH16" s="251"/>
      <c r="IFI16" s="251"/>
      <c r="IFJ16" s="251"/>
      <c r="IFK16" s="251"/>
      <c r="IFL16" s="251"/>
      <c r="IFM16" s="251"/>
      <c r="IFN16" s="251"/>
      <c r="IFO16" s="251"/>
      <c r="IFP16" s="251"/>
      <c r="IFQ16" s="251"/>
      <c r="IFR16" s="251"/>
      <c r="IFS16" s="251"/>
      <c r="IFT16" s="251"/>
      <c r="IFU16" s="251"/>
      <c r="IFV16" s="251"/>
      <c r="IFW16" s="251"/>
      <c r="IFX16" s="251"/>
      <c r="IFY16" s="251"/>
      <c r="IFZ16" s="251"/>
      <c r="IGA16" s="251"/>
      <c r="IGB16" s="251"/>
      <c r="IGC16" s="251"/>
      <c r="IGD16" s="251"/>
      <c r="IGE16" s="251"/>
      <c r="IGF16" s="251"/>
      <c r="IGG16" s="251"/>
      <c r="IGH16" s="251"/>
      <c r="IGI16" s="251"/>
      <c r="IGJ16" s="251"/>
      <c r="IGK16" s="251"/>
      <c r="IGL16" s="251"/>
      <c r="IGM16" s="251"/>
      <c r="IGN16" s="251"/>
      <c r="IGO16" s="251"/>
      <c r="IGP16" s="251"/>
      <c r="IGQ16" s="251"/>
      <c r="IGR16" s="251"/>
      <c r="IGS16" s="251"/>
      <c r="IGT16" s="251"/>
      <c r="IGU16" s="251"/>
      <c r="IGV16" s="251"/>
      <c r="IGW16" s="251"/>
      <c r="IGX16" s="251"/>
      <c r="IGY16" s="251"/>
      <c r="IGZ16" s="251"/>
      <c r="IHA16" s="251"/>
      <c r="IHB16" s="251"/>
      <c r="IHC16" s="251"/>
      <c r="IHD16" s="251"/>
      <c r="IHE16" s="251"/>
      <c r="IHF16" s="251"/>
      <c r="IHG16" s="251"/>
      <c r="IHH16" s="251"/>
      <c r="IHI16" s="251"/>
      <c r="IHJ16" s="251"/>
      <c r="IHK16" s="251"/>
      <c r="IHL16" s="251"/>
      <c r="IHM16" s="251"/>
      <c r="IHN16" s="251"/>
      <c r="IHO16" s="251"/>
      <c r="IHP16" s="251"/>
      <c r="IHQ16" s="251"/>
      <c r="IHR16" s="251"/>
      <c r="IHS16" s="251"/>
      <c r="IHT16" s="251"/>
      <c r="IHU16" s="251"/>
      <c r="IHV16" s="251"/>
      <c r="IHW16" s="251"/>
      <c r="IHX16" s="251"/>
      <c r="IHY16" s="251"/>
      <c r="IHZ16" s="251"/>
      <c r="IIA16" s="251"/>
      <c r="IIB16" s="251"/>
      <c r="IIC16" s="251"/>
      <c r="IID16" s="251"/>
      <c r="IIE16" s="251"/>
      <c r="IIF16" s="251"/>
      <c r="IIG16" s="251"/>
      <c r="IIH16" s="251"/>
      <c r="III16" s="251"/>
      <c r="IIJ16" s="251"/>
      <c r="IIK16" s="251"/>
      <c r="IIL16" s="251"/>
      <c r="IIM16" s="251"/>
      <c r="IIN16" s="251"/>
      <c r="IIO16" s="251"/>
      <c r="IIP16" s="251"/>
      <c r="IIQ16" s="251"/>
      <c r="IIR16" s="251"/>
      <c r="IIS16" s="251"/>
      <c r="IIT16" s="251"/>
      <c r="IIU16" s="251"/>
      <c r="IIV16" s="251"/>
      <c r="IIW16" s="251"/>
      <c r="IIX16" s="251"/>
      <c r="IIY16" s="251"/>
      <c r="IIZ16" s="251"/>
      <c r="IJA16" s="251"/>
      <c r="IJB16" s="251"/>
      <c r="IJC16" s="251"/>
      <c r="IJD16" s="251"/>
      <c r="IJE16" s="251"/>
      <c r="IJF16" s="251"/>
      <c r="IJG16" s="251"/>
      <c r="IJH16" s="251"/>
      <c r="IJI16" s="251"/>
      <c r="IJJ16" s="251"/>
      <c r="IJK16" s="251"/>
      <c r="IJL16" s="251"/>
      <c r="IJM16" s="251"/>
      <c r="IJN16" s="251"/>
      <c r="IJO16" s="251"/>
      <c r="IJP16" s="251"/>
      <c r="IJQ16" s="251"/>
      <c r="IJR16" s="251"/>
      <c r="IJS16" s="251"/>
      <c r="IJT16" s="251"/>
      <c r="IJU16" s="251"/>
      <c r="IJV16" s="251"/>
      <c r="IJW16" s="251"/>
      <c r="IJX16" s="251"/>
      <c r="IJY16" s="251"/>
      <c r="IJZ16" s="251"/>
      <c r="IKA16" s="251"/>
      <c r="IKB16" s="251"/>
      <c r="IKC16" s="251"/>
      <c r="IKD16" s="251"/>
      <c r="IKE16" s="251"/>
      <c r="IKF16" s="251"/>
      <c r="IKG16" s="251"/>
      <c r="IKH16" s="251"/>
      <c r="IKI16" s="251"/>
      <c r="IKJ16" s="251"/>
      <c r="IKK16" s="251"/>
      <c r="IKL16" s="251"/>
      <c r="IKM16" s="251"/>
      <c r="IKN16" s="251"/>
      <c r="IKO16" s="251"/>
      <c r="IKP16" s="251"/>
      <c r="IKQ16" s="251"/>
      <c r="IKR16" s="251"/>
      <c r="IKS16" s="251"/>
      <c r="IKT16" s="251"/>
      <c r="IKU16" s="251"/>
      <c r="IKV16" s="251"/>
      <c r="IKW16" s="251"/>
      <c r="IKX16" s="251"/>
      <c r="IKY16" s="251"/>
      <c r="IKZ16" s="251"/>
      <c r="ILA16" s="251"/>
      <c r="ILB16" s="251"/>
      <c r="ILC16" s="251"/>
      <c r="ILD16" s="251"/>
      <c r="ILE16" s="251"/>
      <c r="ILF16" s="251"/>
      <c r="ILG16" s="251"/>
      <c r="ILH16" s="251"/>
      <c r="ILI16" s="251"/>
      <c r="ILJ16" s="251"/>
      <c r="ILK16" s="251"/>
      <c r="ILL16" s="251"/>
      <c r="ILM16" s="251"/>
      <c r="ILN16" s="251"/>
      <c r="ILO16" s="251"/>
      <c r="ILP16" s="251"/>
      <c r="ILQ16" s="251"/>
      <c r="ILR16" s="251"/>
      <c r="ILS16" s="251"/>
      <c r="ILT16" s="251"/>
      <c r="ILU16" s="251"/>
      <c r="ILV16" s="251"/>
      <c r="ILW16" s="251"/>
      <c r="ILX16" s="251"/>
      <c r="ILY16" s="251"/>
      <c r="ILZ16" s="251"/>
      <c r="IMA16" s="251"/>
      <c r="IMB16" s="251"/>
      <c r="IMC16" s="251"/>
      <c r="IMD16" s="251"/>
      <c r="IME16" s="251"/>
      <c r="IMF16" s="251"/>
      <c r="IMG16" s="251"/>
      <c r="IMH16" s="251"/>
      <c r="IMI16" s="251"/>
      <c r="IMJ16" s="251"/>
      <c r="IMK16" s="251"/>
      <c r="IML16" s="251"/>
      <c r="IMM16" s="251"/>
      <c r="IMN16" s="251"/>
      <c r="IMO16" s="251"/>
      <c r="IMP16" s="251"/>
      <c r="IMQ16" s="251"/>
      <c r="IMR16" s="251"/>
      <c r="IMS16" s="251"/>
      <c r="IMT16" s="251"/>
      <c r="IMU16" s="251"/>
      <c r="IMV16" s="251"/>
      <c r="IMW16" s="251"/>
      <c r="IMX16" s="251"/>
      <c r="IMY16" s="251"/>
      <c r="IMZ16" s="251"/>
      <c r="INA16" s="251"/>
      <c r="INB16" s="251"/>
      <c r="INC16" s="251"/>
      <c r="IND16" s="251"/>
      <c r="INE16" s="251"/>
      <c r="INF16" s="251"/>
      <c r="ING16" s="251"/>
      <c r="INH16" s="251"/>
      <c r="INI16" s="251"/>
      <c r="INJ16" s="251"/>
      <c r="INK16" s="251"/>
      <c r="INL16" s="251"/>
      <c r="INM16" s="251"/>
      <c r="INN16" s="251"/>
      <c r="INO16" s="251"/>
      <c r="INP16" s="251"/>
      <c r="INQ16" s="251"/>
      <c r="INR16" s="251"/>
      <c r="INS16" s="251"/>
      <c r="INT16" s="251"/>
      <c r="INU16" s="251"/>
      <c r="INV16" s="251"/>
      <c r="INW16" s="251"/>
      <c r="INX16" s="251"/>
      <c r="INY16" s="251"/>
      <c r="INZ16" s="251"/>
      <c r="IOA16" s="251"/>
      <c r="IOB16" s="251"/>
      <c r="IOC16" s="251"/>
      <c r="IOD16" s="251"/>
      <c r="IOE16" s="251"/>
      <c r="IOF16" s="251"/>
      <c r="IOG16" s="251"/>
      <c r="IOH16" s="251"/>
      <c r="IOI16" s="251"/>
      <c r="IOJ16" s="251"/>
      <c r="IOK16" s="251"/>
      <c r="IOL16" s="251"/>
      <c r="IOM16" s="251"/>
      <c r="ION16" s="251"/>
      <c r="IOO16" s="251"/>
      <c r="IOP16" s="251"/>
      <c r="IOQ16" s="251"/>
      <c r="IOR16" s="251"/>
      <c r="IOS16" s="251"/>
      <c r="IOT16" s="251"/>
      <c r="IOU16" s="251"/>
      <c r="IOV16" s="251"/>
      <c r="IOW16" s="251"/>
      <c r="IOX16" s="251"/>
      <c r="IOY16" s="251"/>
      <c r="IOZ16" s="251"/>
      <c r="IPA16" s="251"/>
      <c r="IPB16" s="251"/>
      <c r="IPC16" s="251"/>
      <c r="IPD16" s="251"/>
      <c r="IPE16" s="251"/>
      <c r="IPF16" s="251"/>
      <c r="IPG16" s="251"/>
      <c r="IPH16" s="251"/>
      <c r="IPI16" s="251"/>
      <c r="IPJ16" s="251"/>
      <c r="IPK16" s="251"/>
      <c r="IPL16" s="251"/>
      <c r="IPM16" s="251"/>
      <c r="IPN16" s="251"/>
      <c r="IPO16" s="251"/>
      <c r="IPP16" s="251"/>
      <c r="IPQ16" s="251"/>
      <c r="IPR16" s="251"/>
      <c r="IPS16" s="251"/>
      <c r="IPT16" s="251"/>
      <c r="IPU16" s="251"/>
      <c r="IPV16" s="251"/>
      <c r="IPW16" s="251"/>
      <c r="IPX16" s="251"/>
      <c r="IPY16" s="251"/>
      <c r="IPZ16" s="251"/>
      <c r="IQA16" s="251"/>
      <c r="IQB16" s="251"/>
      <c r="IQC16" s="251"/>
      <c r="IQD16" s="251"/>
      <c r="IQE16" s="251"/>
      <c r="IQF16" s="251"/>
      <c r="IQG16" s="251"/>
      <c r="IQH16" s="251"/>
      <c r="IQI16" s="251"/>
      <c r="IQJ16" s="251"/>
      <c r="IQK16" s="251"/>
      <c r="IQL16" s="251"/>
      <c r="IQM16" s="251"/>
      <c r="IQN16" s="251"/>
      <c r="IQO16" s="251"/>
      <c r="IQP16" s="251"/>
      <c r="IQQ16" s="251"/>
      <c r="IQR16" s="251"/>
      <c r="IQS16" s="251"/>
      <c r="IQT16" s="251"/>
      <c r="IQU16" s="251"/>
      <c r="IQV16" s="251"/>
      <c r="IQW16" s="251"/>
      <c r="IQX16" s="251"/>
      <c r="IQY16" s="251"/>
      <c r="IQZ16" s="251"/>
      <c r="IRA16" s="251"/>
      <c r="IRB16" s="251"/>
      <c r="IRC16" s="251"/>
      <c r="IRD16" s="251"/>
      <c r="IRE16" s="251"/>
      <c r="IRF16" s="251"/>
      <c r="IRG16" s="251"/>
      <c r="IRH16" s="251"/>
      <c r="IRI16" s="251"/>
      <c r="IRJ16" s="251"/>
      <c r="IRK16" s="251"/>
      <c r="IRL16" s="251"/>
      <c r="IRM16" s="251"/>
      <c r="IRN16" s="251"/>
      <c r="IRO16" s="251"/>
      <c r="IRP16" s="251"/>
      <c r="IRQ16" s="251"/>
      <c r="IRR16" s="251"/>
      <c r="IRS16" s="251"/>
      <c r="IRT16" s="251"/>
      <c r="IRU16" s="251"/>
      <c r="IRV16" s="251"/>
      <c r="IRW16" s="251"/>
      <c r="IRX16" s="251"/>
      <c r="IRY16" s="251"/>
      <c r="IRZ16" s="251"/>
      <c r="ISA16" s="251"/>
      <c r="ISB16" s="251"/>
      <c r="ISC16" s="251"/>
      <c r="ISD16" s="251"/>
      <c r="ISE16" s="251"/>
      <c r="ISF16" s="251"/>
      <c r="ISG16" s="251"/>
      <c r="ISH16" s="251"/>
      <c r="ISI16" s="251"/>
      <c r="ISJ16" s="251"/>
      <c r="ISK16" s="251"/>
      <c r="ISL16" s="251"/>
      <c r="ISM16" s="251"/>
      <c r="ISN16" s="251"/>
      <c r="ISO16" s="251"/>
      <c r="ISP16" s="251"/>
      <c r="ISQ16" s="251"/>
      <c r="ISR16" s="251"/>
      <c r="ISS16" s="251"/>
      <c r="IST16" s="251"/>
      <c r="ISU16" s="251"/>
      <c r="ISV16" s="251"/>
      <c r="ISW16" s="251"/>
      <c r="ISX16" s="251"/>
      <c r="ISY16" s="251"/>
      <c r="ISZ16" s="251"/>
      <c r="ITA16" s="251"/>
      <c r="ITB16" s="251"/>
      <c r="ITC16" s="251"/>
      <c r="ITD16" s="251"/>
      <c r="ITE16" s="251"/>
      <c r="ITF16" s="251"/>
      <c r="ITG16" s="251"/>
      <c r="ITH16" s="251"/>
      <c r="ITI16" s="251"/>
      <c r="ITJ16" s="251"/>
      <c r="ITK16" s="251"/>
      <c r="ITL16" s="251"/>
      <c r="ITM16" s="251"/>
      <c r="ITN16" s="251"/>
      <c r="ITO16" s="251"/>
      <c r="ITP16" s="251"/>
      <c r="ITQ16" s="251"/>
      <c r="ITR16" s="251"/>
      <c r="ITS16" s="251"/>
      <c r="ITT16" s="251"/>
      <c r="ITU16" s="251"/>
      <c r="ITV16" s="251"/>
      <c r="ITW16" s="251"/>
      <c r="ITX16" s="251"/>
      <c r="ITY16" s="251"/>
      <c r="ITZ16" s="251"/>
      <c r="IUA16" s="251"/>
      <c r="IUB16" s="251"/>
      <c r="IUC16" s="251"/>
      <c r="IUD16" s="251"/>
      <c r="IUE16" s="251"/>
      <c r="IUF16" s="251"/>
      <c r="IUG16" s="251"/>
      <c r="IUH16" s="251"/>
      <c r="IUI16" s="251"/>
      <c r="IUJ16" s="251"/>
      <c r="IUK16" s="251"/>
      <c r="IUL16" s="251"/>
      <c r="IUM16" s="251"/>
      <c r="IUN16" s="251"/>
      <c r="IUO16" s="251"/>
      <c r="IUP16" s="251"/>
      <c r="IUQ16" s="251"/>
      <c r="IUR16" s="251"/>
      <c r="IUS16" s="251"/>
      <c r="IUT16" s="251"/>
      <c r="IUU16" s="251"/>
      <c r="IUV16" s="251"/>
      <c r="IUW16" s="251"/>
      <c r="IUX16" s="251"/>
      <c r="IUY16" s="251"/>
      <c r="IUZ16" s="251"/>
      <c r="IVA16" s="251"/>
      <c r="IVB16" s="251"/>
      <c r="IVC16" s="251"/>
      <c r="IVD16" s="251"/>
      <c r="IVE16" s="251"/>
      <c r="IVF16" s="251"/>
      <c r="IVG16" s="251"/>
      <c r="IVH16" s="251"/>
      <c r="IVI16" s="251"/>
      <c r="IVJ16" s="251"/>
      <c r="IVK16" s="251"/>
      <c r="IVL16" s="251"/>
      <c r="IVM16" s="251"/>
      <c r="IVN16" s="251"/>
      <c r="IVO16" s="251"/>
      <c r="IVP16" s="251"/>
      <c r="IVQ16" s="251"/>
      <c r="IVR16" s="251"/>
      <c r="IVS16" s="251"/>
      <c r="IVT16" s="251"/>
      <c r="IVU16" s="251"/>
      <c r="IVV16" s="251"/>
      <c r="IVW16" s="251"/>
      <c r="IVX16" s="251"/>
      <c r="IVY16" s="251"/>
      <c r="IVZ16" s="251"/>
      <c r="IWA16" s="251"/>
      <c r="IWB16" s="251"/>
      <c r="IWC16" s="251"/>
      <c r="IWD16" s="251"/>
      <c r="IWE16" s="251"/>
      <c r="IWF16" s="251"/>
      <c r="IWG16" s="251"/>
      <c r="IWH16" s="251"/>
      <c r="IWI16" s="251"/>
      <c r="IWJ16" s="251"/>
      <c r="IWK16" s="251"/>
      <c r="IWL16" s="251"/>
      <c r="IWM16" s="251"/>
      <c r="IWN16" s="251"/>
      <c r="IWO16" s="251"/>
      <c r="IWP16" s="251"/>
      <c r="IWQ16" s="251"/>
      <c r="IWR16" s="251"/>
      <c r="IWS16" s="251"/>
      <c r="IWT16" s="251"/>
      <c r="IWU16" s="251"/>
      <c r="IWV16" s="251"/>
      <c r="IWW16" s="251"/>
      <c r="IWX16" s="251"/>
      <c r="IWY16" s="251"/>
      <c r="IWZ16" s="251"/>
      <c r="IXA16" s="251"/>
      <c r="IXB16" s="251"/>
      <c r="IXC16" s="251"/>
      <c r="IXD16" s="251"/>
      <c r="IXE16" s="251"/>
      <c r="IXF16" s="251"/>
      <c r="IXG16" s="251"/>
      <c r="IXH16" s="251"/>
      <c r="IXI16" s="251"/>
      <c r="IXJ16" s="251"/>
      <c r="IXK16" s="251"/>
      <c r="IXL16" s="251"/>
      <c r="IXM16" s="251"/>
      <c r="IXN16" s="251"/>
      <c r="IXO16" s="251"/>
      <c r="IXP16" s="251"/>
      <c r="IXQ16" s="251"/>
      <c r="IXR16" s="251"/>
      <c r="IXS16" s="251"/>
      <c r="IXT16" s="251"/>
      <c r="IXU16" s="251"/>
      <c r="IXV16" s="251"/>
      <c r="IXW16" s="251"/>
      <c r="IXX16" s="251"/>
      <c r="IXY16" s="251"/>
      <c r="IXZ16" s="251"/>
      <c r="IYA16" s="251"/>
      <c r="IYB16" s="251"/>
      <c r="IYC16" s="251"/>
      <c r="IYD16" s="251"/>
      <c r="IYE16" s="251"/>
      <c r="IYF16" s="251"/>
      <c r="IYG16" s="251"/>
      <c r="IYH16" s="251"/>
      <c r="IYI16" s="251"/>
      <c r="IYJ16" s="251"/>
      <c r="IYK16" s="251"/>
      <c r="IYL16" s="251"/>
      <c r="IYM16" s="251"/>
      <c r="IYN16" s="251"/>
      <c r="IYO16" s="251"/>
      <c r="IYP16" s="251"/>
      <c r="IYQ16" s="251"/>
      <c r="IYR16" s="251"/>
      <c r="IYS16" s="251"/>
      <c r="IYT16" s="251"/>
      <c r="IYU16" s="251"/>
      <c r="IYV16" s="251"/>
      <c r="IYW16" s="251"/>
      <c r="IYX16" s="251"/>
      <c r="IYY16" s="251"/>
      <c r="IYZ16" s="251"/>
      <c r="IZA16" s="251"/>
      <c r="IZB16" s="251"/>
      <c r="IZC16" s="251"/>
      <c r="IZD16" s="251"/>
      <c r="IZE16" s="251"/>
      <c r="IZF16" s="251"/>
      <c r="IZG16" s="251"/>
      <c r="IZH16" s="251"/>
      <c r="IZI16" s="251"/>
      <c r="IZJ16" s="251"/>
      <c r="IZK16" s="251"/>
      <c r="IZL16" s="251"/>
      <c r="IZM16" s="251"/>
      <c r="IZN16" s="251"/>
      <c r="IZO16" s="251"/>
      <c r="IZP16" s="251"/>
      <c r="IZQ16" s="251"/>
      <c r="IZR16" s="251"/>
      <c r="IZS16" s="251"/>
      <c r="IZT16" s="251"/>
      <c r="IZU16" s="251"/>
      <c r="IZV16" s="251"/>
      <c r="IZW16" s="251"/>
      <c r="IZX16" s="251"/>
      <c r="IZY16" s="251"/>
      <c r="IZZ16" s="251"/>
      <c r="JAA16" s="251"/>
      <c r="JAB16" s="251"/>
      <c r="JAC16" s="251"/>
      <c r="JAD16" s="251"/>
      <c r="JAE16" s="251"/>
      <c r="JAF16" s="251"/>
      <c r="JAG16" s="251"/>
      <c r="JAH16" s="251"/>
      <c r="JAI16" s="251"/>
      <c r="JAJ16" s="251"/>
      <c r="JAK16" s="251"/>
      <c r="JAL16" s="251"/>
      <c r="JAM16" s="251"/>
      <c r="JAN16" s="251"/>
      <c r="JAO16" s="251"/>
      <c r="JAP16" s="251"/>
      <c r="JAQ16" s="251"/>
      <c r="JAR16" s="251"/>
      <c r="JAS16" s="251"/>
      <c r="JAT16" s="251"/>
      <c r="JAU16" s="251"/>
      <c r="JAV16" s="251"/>
      <c r="JAW16" s="251"/>
      <c r="JAX16" s="251"/>
      <c r="JAY16" s="251"/>
      <c r="JAZ16" s="251"/>
      <c r="JBA16" s="251"/>
      <c r="JBB16" s="251"/>
      <c r="JBC16" s="251"/>
      <c r="JBD16" s="251"/>
      <c r="JBE16" s="251"/>
      <c r="JBF16" s="251"/>
      <c r="JBG16" s="251"/>
      <c r="JBH16" s="251"/>
      <c r="JBI16" s="251"/>
      <c r="JBJ16" s="251"/>
      <c r="JBK16" s="251"/>
      <c r="JBL16" s="251"/>
      <c r="JBM16" s="251"/>
      <c r="JBN16" s="251"/>
      <c r="JBO16" s="251"/>
      <c r="JBP16" s="251"/>
      <c r="JBQ16" s="251"/>
      <c r="JBR16" s="251"/>
      <c r="JBS16" s="251"/>
      <c r="JBT16" s="251"/>
      <c r="JBU16" s="251"/>
      <c r="JBV16" s="251"/>
      <c r="JBW16" s="251"/>
      <c r="JBX16" s="251"/>
      <c r="JBY16" s="251"/>
      <c r="JBZ16" s="251"/>
      <c r="JCA16" s="251"/>
      <c r="JCB16" s="251"/>
      <c r="JCC16" s="251"/>
      <c r="JCD16" s="251"/>
      <c r="JCE16" s="251"/>
      <c r="JCF16" s="251"/>
      <c r="JCG16" s="251"/>
      <c r="JCH16" s="251"/>
      <c r="JCI16" s="251"/>
      <c r="JCJ16" s="251"/>
      <c r="JCK16" s="251"/>
      <c r="JCL16" s="251"/>
      <c r="JCM16" s="251"/>
      <c r="JCN16" s="251"/>
      <c r="JCO16" s="251"/>
      <c r="JCP16" s="251"/>
      <c r="JCQ16" s="251"/>
      <c r="JCR16" s="251"/>
      <c r="JCS16" s="251"/>
      <c r="JCT16" s="251"/>
      <c r="JCU16" s="251"/>
      <c r="JCV16" s="251"/>
      <c r="JCW16" s="251"/>
      <c r="JCX16" s="251"/>
      <c r="JCY16" s="251"/>
      <c r="JCZ16" s="251"/>
      <c r="JDA16" s="251"/>
      <c r="JDB16" s="251"/>
      <c r="JDC16" s="251"/>
      <c r="JDD16" s="251"/>
      <c r="JDE16" s="251"/>
      <c r="JDF16" s="251"/>
      <c r="JDG16" s="251"/>
      <c r="JDH16" s="251"/>
      <c r="JDI16" s="251"/>
      <c r="JDJ16" s="251"/>
      <c r="JDK16" s="251"/>
      <c r="JDL16" s="251"/>
      <c r="JDM16" s="251"/>
      <c r="JDN16" s="251"/>
      <c r="JDO16" s="251"/>
      <c r="JDP16" s="251"/>
      <c r="JDQ16" s="251"/>
      <c r="JDR16" s="251"/>
      <c r="JDS16" s="251"/>
      <c r="JDT16" s="251"/>
      <c r="JDU16" s="251"/>
      <c r="JDV16" s="251"/>
      <c r="JDW16" s="251"/>
      <c r="JDX16" s="251"/>
      <c r="JDY16" s="251"/>
      <c r="JDZ16" s="251"/>
      <c r="JEA16" s="251"/>
      <c r="JEB16" s="251"/>
      <c r="JEC16" s="251"/>
      <c r="JED16" s="251"/>
      <c r="JEE16" s="251"/>
      <c r="JEF16" s="251"/>
      <c r="JEG16" s="251"/>
      <c r="JEH16" s="251"/>
      <c r="JEI16" s="251"/>
      <c r="JEJ16" s="251"/>
      <c r="JEK16" s="251"/>
      <c r="JEL16" s="251"/>
      <c r="JEM16" s="251"/>
      <c r="JEN16" s="251"/>
      <c r="JEO16" s="251"/>
      <c r="JEP16" s="251"/>
      <c r="JEQ16" s="251"/>
      <c r="JER16" s="251"/>
      <c r="JES16" s="251"/>
      <c r="JET16" s="251"/>
      <c r="JEU16" s="251"/>
      <c r="JEV16" s="251"/>
      <c r="JEW16" s="251"/>
      <c r="JEX16" s="251"/>
      <c r="JEY16" s="251"/>
      <c r="JEZ16" s="251"/>
      <c r="JFA16" s="251"/>
      <c r="JFB16" s="251"/>
      <c r="JFC16" s="251"/>
      <c r="JFD16" s="251"/>
      <c r="JFE16" s="251"/>
      <c r="JFF16" s="251"/>
      <c r="JFG16" s="251"/>
      <c r="JFH16" s="251"/>
      <c r="JFI16" s="251"/>
      <c r="JFJ16" s="251"/>
      <c r="JFK16" s="251"/>
      <c r="JFL16" s="251"/>
      <c r="JFM16" s="251"/>
      <c r="JFN16" s="251"/>
      <c r="JFO16" s="251"/>
      <c r="JFP16" s="251"/>
      <c r="JFQ16" s="251"/>
      <c r="JFR16" s="251"/>
      <c r="JFS16" s="251"/>
      <c r="JFT16" s="251"/>
      <c r="JFU16" s="251"/>
      <c r="JFV16" s="251"/>
      <c r="JFW16" s="251"/>
      <c r="JFX16" s="251"/>
      <c r="JFY16" s="251"/>
      <c r="JFZ16" s="251"/>
      <c r="JGA16" s="251"/>
      <c r="JGB16" s="251"/>
      <c r="JGC16" s="251"/>
      <c r="JGD16" s="251"/>
      <c r="JGE16" s="251"/>
      <c r="JGF16" s="251"/>
      <c r="JGG16" s="251"/>
      <c r="JGH16" s="251"/>
      <c r="JGI16" s="251"/>
      <c r="JGJ16" s="251"/>
      <c r="JGK16" s="251"/>
      <c r="JGL16" s="251"/>
      <c r="JGM16" s="251"/>
      <c r="JGN16" s="251"/>
      <c r="JGO16" s="251"/>
      <c r="JGP16" s="251"/>
      <c r="JGQ16" s="251"/>
      <c r="JGR16" s="251"/>
      <c r="JGS16" s="251"/>
      <c r="JGT16" s="251"/>
      <c r="JGU16" s="251"/>
      <c r="JGV16" s="251"/>
      <c r="JGW16" s="251"/>
      <c r="JGX16" s="251"/>
      <c r="JGY16" s="251"/>
      <c r="JGZ16" s="251"/>
      <c r="JHA16" s="251"/>
      <c r="JHB16" s="251"/>
      <c r="JHC16" s="251"/>
      <c r="JHD16" s="251"/>
      <c r="JHE16" s="251"/>
      <c r="JHF16" s="251"/>
      <c r="JHG16" s="251"/>
      <c r="JHH16" s="251"/>
      <c r="JHI16" s="251"/>
      <c r="JHJ16" s="251"/>
      <c r="JHK16" s="251"/>
      <c r="JHL16" s="251"/>
      <c r="JHM16" s="251"/>
      <c r="JHN16" s="251"/>
      <c r="JHO16" s="251"/>
      <c r="JHP16" s="251"/>
      <c r="JHQ16" s="251"/>
      <c r="JHR16" s="251"/>
      <c r="JHS16" s="251"/>
      <c r="JHT16" s="251"/>
      <c r="JHU16" s="251"/>
      <c r="JHV16" s="251"/>
      <c r="JHW16" s="251"/>
      <c r="JHX16" s="251"/>
      <c r="JHY16" s="251"/>
      <c r="JHZ16" s="251"/>
      <c r="JIA16" s="251"/>
      <c r="JIB16" s="251"/>
      <c r="JIC16" s="251"/>
      <c r="JID16" s="251"/>
      <c r="JIE16" s="251"/>
      <c r="JIF16" s="251"/>
      <c r="JIG16" s="251"/>
      <c r="JIH16" s="251"/>
      <c r="JII16" s="251"/>
      <c r="JIJ16" s="251"/>
      <c r="JIK16" s="251"/>
      <c r="JIL16" s="251"/>
      <c r="JIM16" s="251"/>
      <c r="JIN16" s="251"/>
      <c r="JIO16" s="251"/>
      <c r="JIP16" s="251"/>
      <c r="JIQ16" s="251"/>
      <c r="JIR16" s="251"/>
      <c r="JIS16" s="251"/>
      <c r="JIT16" s="251"/>
      <c r="JIU16" s="251"/>
      <c r="JIV16" s="251"/>
      <c r="JIW16" s="251"/>
      <c r="JIX16" s="251"/>
      <c r="JIY16" s="251"/>
      <c r="JIZ16" s="251"/>
      <c r="JJA16" s="251"/>
      <c r="JJB16" s="251"/>
      <c r="JJC16" s="251"/>
      <c r="JJD16" s="251"/>
      <c r="JJE16" s="251"/>
      <c r="JJF16" s="251"/>
      <c r="JJG16" s="251"/>
      <c r="JJH16" s="251"/>
      <c r="JJI16" s="251"/>
      <c r="JJJ16" s="251"/>
      <c r="JJK16" s="251"/>
      <c r="JJL16" s="251"/>
      <c r="JJM16" s="251"/>
      <c r="JJN16" s="251"/>
      <c r="JJO16" s="251"/>
      <c r="JJP16" s="251"/>
      <c r="JJQ16" s="251"/>
      <c r="JJR16" s="251"/>
      <c r="JJS16" s="251"/>
      <c r="JJT16" s="251"/>
      <c r="JJU16" s="251"/>
      <c r="JJV16" s="251"/>
      <c r="JJW16" s="251"/>
      <c r="JJX16" s="251"/>
      <c r="JJY16" s="251"/>
      <c r="JJZ16" s="251"/>
      <c r="JKA16" s="251"/>
      <c r="JKB16" s="251"/>
      <c r="JKC16" s="251"/>
      <c r="JKD16" s="251"/>
      <c r="JKE16" s="251"/>
      <c r="JKF16" s="251"/>
      <c r="JKG16" s="251"/>
      <c r="JKH16" s="251"/>
      <c r="JKI16" s="251"/>
      <c r="JKJ16" s="251"/>
      <c r="JKK16" s="251"/>
      <c r="JKL16" s="251"/>
      <c r="JKM16" s="251"/>
      <c r="JKN16" s="251"/>
      <c r="JKO16" s="251"/>
      <c r="JKP16" s="251"/>
      <c r="JKQ16" s="251"/>
      <c r="JKR16" s="251"/>
      <c r="JKS16" s="251"/>
      <c r="JKT16" s="251"/>
      <c r="JKU16" s="251"/>
      <c r="JKV16" s="251"/>
      <c r="JKW16" s="251"/>
      <c r="JKX16" s="251"/>
      <c r="JKY16" s="251"/>
      <c r="JKZ16" s="251"/>
      <c r="JLA16" s="251"/>
      <c r="JLB16" s="251"/>
      <c r="JLC16" s="251"/>
      <c r="JLD16" s="251"/>
      <c r="JLE16" s="251"/>
      <c r="JLF16" s="251"/>
      <c r="JLG16" s="251"/>
      <c r="JLH16" s="251"/>
      <c r="JLI16" s="251"/>
      <c r="JLJ16" s="251"/>
      <c r="JLK16" s="251"/>
      <c r="JLL16" s="251"/>
      <c r="JLM16" s="251"/>
      <c r="JLN16" s="251"/>
      <c r="JLO16" s="251"/>
      <c r="JLP16" s="251"/>
      <c r="JLQ16" s="251"/>
      <c r="JLR16" s="251"/>
      <c r="JLS16" s="251"/>
      <c r="JLT16" s="251"/>
      <c r="JLU16" s="251"/>
      <c r="JLV16" s="251"/>
      <c r="JLW16" s="251"/>
      <c r="JLX16" s="251"/>
      <c r="JLY16" s="251"/>
      <c r="JLZ16" s="251"/>
      <c r="JMA16" s="251"/>
      <c r="JMB16" s="251"/>
      <c r="JMC16" s="251"/>
      <c r="JMD16" s="251"/>
      <c r="JME16" s="251"/>
      <c r="JMF16" s="251"/>
      <c r="JMG16" s="251"/>
      <c r="JMH16" s="251"/>
      <c r="JMI16" s="251"/>
      <c r="JMJ16" s="251"/>
      <c r="JMK16" s="251"/>
      <c r="JML16" s="251"/>
      <c r="JMM16" s="251"/>
      <c r="JMN16" s="251"/>
      <c r="JMO16" s="251"/>
      <c r="JMP16" s="251"/>
      <c r="JMQ16" s="251"/>
      <c r="JMR16" s="251"/>
      <c r="JMS16" s="251"/>
      <c r="JMT16" s="251"/>
      <c r="JMU16" s="251"/>
      <c r="JMV16" s="251"/>
      <c r="JMW16" s="251"/>
      <c r="JMX16" s="251"/>
      <c r="JMY16" s="251"/>
      <c r="JMZ16" s="251"/>
      <c r="JNA16" s="251"/>
      <c r="JNB16" s="251"/>
      <c r="JNC16" s="251"/>
      <c r="JND16" s="251"/>
      <c r="JNE16" s="251"/>
      <c r="JNF16" s="251"/>
      <c r="JNG16" s="251"/>
      <c r="JNH16" s="251"/>
      <c r="JNI16" s="251"/>
      <c r="JNJ16" s="251"/>
      <c r="JNK16" s="251"/>
      <c r="JNL16" s="251"/>
      <c r="JNM16" s="251"/>
      <c r="JNN16" s="251"/>
      <c r="JNO16" s="251"/>
      <c r="JNP16" s="251"/>
      <c r="JNQ16" s="251"/>
      <c r="JNR16" s="251"/>
      <c r="JNS16" s="251"/>
      <c r="JNT16" s="251"/>
      <c r="JNU16" s="251"/>
      <c r="JNV16" s="251"/>
      <c r="JNW16" s="251"/>
      <c r="JNX16" s="251"/>
      <c r="JNY16" s="251"/>
      <c r="JNZ16" s="251"/>
      <c r="JOA16" s="251"/>
      <c r="JOB16" s="251"/>
      <c r="JOC16" s="251"/>
      <c r="JOD16" s="251"/>
      <c r="JOE16" s="251"/>
      <c r="JOF16" s="251"/>
      <c r="JOG16" s="251"/>
      <c r="JOH16" s="251"/>
      <c r="JOI16" s="251"/>
      <c r="JOJ16" s="251"/>
      <c r="JOK16" s="251"/>
      <c r="JOL16" s="251"/>
      <c r="JOM16" s="251"/>
      <c r="JON16" s="251"/>
      <c r="JOO16" s="251"/>
      <c r="JOP16" s="251"/>
      <c r="JOQ16" s="251"/>
      <c r="JOR16" s="251"/>
      <c r="JOS16" s="251"/>
      <c r="JOT16" s="251"/>
      <c r="JOU16" s="251"/>
      <c r="JOV16" s="251"/>
      <c r="JOW16" s="251"/>
      <c r="JOX16" s="251"/>
      <c r="JOY16" s="251"/>
      <c r="JOZ16" s="251"/>
      <c r="JPA16" s="251"/>
      <c r="JPB16" s="251"/>
      <c r="JPC16" s="251"/>
      <c r="JPD16" s="251"/>
      <c r="JPE16" s="251"/>
      <c r="JPF16" s="251"/>
      <c r="JPG16" s="251"/>
      <c r="JPH16" s="251"/>
      <c r="JPI16" s="251"/>
      <c r="JPJ16" s="251"/>
      <c r="JPK16" s="251"/>
      <c r="JPL16" s="251"/>
      <c r="JPM16" s="251"/>
      <c r="JPN16" s="251"/>
      <c r="JPO16" s="251"/>
      <c r="JPP16" s="251"/>
      <c r="JPQ16" s="251"/>
      <c r="JPR16" s="251"/>
      <c r="JPS16" s="251"/>
      <c r="JPT16" s="251"/>
      <c r="JPU16" s="251"/>
      <c r="JPV16" s="251"/>
      <c r="JPW16" s="251"/>
      <c r="JPX16" s="251"/>
      <c r="JPY16" s="251"/>
      <c r="JPZ16" s="251"/>
      <c r="JQA16" s="251"/>
      <c r="JQB16" s="251"/>
      <c r="JQC16" s="251"/>
      <c r="JQD16" s="251"/>
      <c r="JQE16" s="251"/>
      <c r="JQF16" s="251"/>
      <c r="JQG16" s="251"/>
      <c r="JQH16" s="251"/>
      <c r="JQI16" s="251"/>
      <c r="JQJ16" s="251"/>
      <c r="JQK16" s="251"/>
      <c r="JQL16" s="251"/>
      <c r="JQM16" s="251"/>
      <c r="JQN16" s="251"/>
      <c r="JQO16" s="251"/>
      <c r="JQP16" s="251"/>
      <c r="JQQ16" s="251"/>
      <c r="JQR16" s="251"/>
      <c r="JQS16" s="251"/>
      <c r="JQT16" s="251"/>
      <c r="JQU16" s="251"/>
      <c r="JQV16" s="251"/>
      <c r="JQW16" s="251"/>
      <c r="JQX16" s="251"/>
      <c r="JQY16" s="251"/>
      <c r="JQZ16" s="251"/>
      <c r="JRA16" s="251"/>
      <c r="JRB16" s="251"/>
      <c r="JRC16" s="251"/>
      <c r="JRD16" s="251"/>
      <c r="JRE16" s="251"/>
      <c r="JRF16" s="251"/>
      <c r="JRG16" s="251"/>
      <c r="JRH16" s="251"/>
      <c r="JRI16" s="251"/>
      <c r="JRJ16" s="251"/>
      <c r="JRK16" s="251"/>
      <c r="JRL16" s="251"/>
      <c r="JRM16" s="251"/>
      <c r="JRN16" s="251"/>
      <c r="JRO16" s="251"/>
      <c r="JRP16" s="251"/>
      <c r="JRQ16" s="251"/>
      <c r="JRR16" s="251"/>
      <c r="JRS16" s="251"/>
      <c r="JRT16" s="251"/>
      <c r="JRU16" s="251"/>
      <c r="JRV16" s="251"/>
      <c r="JRW16" s="251"/>
      <c r="JRX16" s="251"/>
      <c r="JRY16" s="251"/>
      <c r="JRZ16" s="251"/>
      <c r="JSA16" s="251"/>
      <c r="JSB16" s="251"/>
      <c r="JSC16" s="251"/>
      <c r="JSD16" s="251"/>
      <c r="JSE16" s="251"/>
      <c r="JSF16" s="251"/>
      <c r="JSG16" s="251"/>
      <c r="JSH16" s="251"/>
      <c r="JSI16" s="251"/>
      <c r="JSJ16" s="251"/>
      <c r="JSK16" s="251"/>
      <c r="JSL16" s="251"/>
      <c r="JSM16" s="251"/>
      <c r="JSN16" s="251"/>
      <c r="JSO16" s="251"/>
      <c r="JSP16" s="251"/>
      <c r="JSQ16" s="251"/>
      <c r="JSR16" s="251"/>
      <c r="JSS16" s="251"/>
      <c r="JST16" s="251"/>
      <c r="JSU16" s="251"/>
      <c r="JSV16" s="251"/>
      <c r="JSW16" s="251"/>
      <c r="JSX16" s="251"/>
      <c r="JSY16" s="251"/>
      <c r="JSZ16" s="251"/>
      <c r="JTA16" s="251"/>
      <c r="JTB16" s="251"/>
      <c r="JTC16" s="251"/>
      <c r="JTD16" s="251"/>
      <c r="JTE16" s="251"/>
      <c r="JTF16" s="251"/>
      <c r="JTG16" s="251"/>
      <c r="JTH16" s="251"/>
      <c r="JTI16" s="251"/>
      <c r="JTJ16" s="251"/>
      <c r="JTK16" s="251"/>
      <c r="JTL16" s="251"/>
      <c r="JTM16" s="251"/>
      <c r="JTN16" s="251"/>
      <c r="JTO16" s="251"/>
      <c r="JTP16" s="251"/>
      <c r="JTQ16" s="251"/>
      <c r="JTR16" s="251"/>
      <c r="JTS16" s="251"/>
      <c r="JTT16" s="251"/>
      <c r="JTU16" s="251"/>
      <c r="JTV16" s="251"/>
      <c r="JTW16" s="251"/>
      <c r="JTX16" s="251"/>
      <c r="JTY16" s="251"/>
      <c r="JTZ16" s="251"/>
      <c r="JUA16" s="251"/>
      <c r="JUB16" s="251"/>
      <c r="JUC16" s="251"/>
      <c r="JUD16" s="251"/>
      <c r="JUE16" s="251"/>
      <c r="JUF16" s="251"/>
      <c r="JUG16" s="251"/>
      <c r="JUH16" s="251"/>
      <c r="JUI16" s="251"/>
      <c r="JUJ16" s="251"/>
      <c r="JUK16" s="251"/>
      <c r="JUL16" s="251"/>
      <c r="JUM16" s="251"/>
      <c r="JUN16" s="251"/>
      <c r="JUO16" s="251"/>
      <c r="JUP16" s="251"/>
      <c r="JUQ16" s="251"/>
      <c r="JUR16" s="251"/>
      <c r="JUS16" s="251"/>
      <c r="JUT16" s="251"/>
      <c r="JUU16" s="251"/>
      <c r="JUV16" s="251"/>
      <c r="JUW16" s="251"/>
      <c r="JUX16" s="251"/>
      <c r="JUY16" s="251"/>
      <c r="JUZ16" s="251"/>
      <c r="JVA16" s="251"/>
      <c r="JVB16" s="251"/>
      <c r="JVC16" s="251"/>
      <c r="JVD16" s="251"/>
      <c r="JVE16" s="251"/>
      <c r="JVF16" s="251"/>
      <c r="JVG16" s="251"/>
      <c r="JVH16" s="251"/>
      <c r="JVI16" s="251"/>
      <c r="JVJ16" s="251"/>
      <c r="JVK16" s="251"/>
      <c r="JVL16" s="251"/>
      <c r="JVM16" s="251"/>
      <c r="JVN16" s="251"/>
      <c r="JVO16" s="251"/>
      <c r="JVP16" s="251"/>
      <c r="JVQ16" s="251"/>
      <c r="JVR16" s="251"/>
      <c r="JVS16" s="251"/>
      <c r="JVT16" s="251"/>
      <c r="JVU16" s="251"/>
      <c r="JVV16" s="251"/>
      <c r="JVW16" s="251"/>
      <c r="JVX16" s="251"/>
      <c r="JVY16" s="251"/>
      <c r="JVZ16" s="251"/>
      <c r="JWA16" s="251"/>
      <c r="JWB16" s="251"/>
      <c r="JWC16" s="251"/>
      <c r="JWD16" s="251"/>
      <c r="JWE16" s="251"/>
      <c r="JWF16" s="251"/>
      <c r="JWG16" s="251"/>
      <c r="JWH16" s="251"/>
      <c r="JWI16" s="251"/>
      <c r="JWJ16" s="251"/>
      <c r="JWK16" s="251"/>
      <c r="JWL16" s="251"/>
      <c r="JWM16" s="251"/>
      <c r="JWN16" s="251"/>
      <c r="JWO16" s="251"/>
      <c r="JWP16" s="251"/>
      <c r="JWQ16" s="251"/>
      <c r="JWR16" s="251"/>
      <c r="JWS16" s="251"/>
      <c r="JWT16" s="251"/>
      <c r="JWU16" s="251"/>
      <c r="JWV16" s="251"/>
      <c r="JWW16" s="251"/>
      <c r="JWX16" s="251"/>
      <c r="JWY16" s="251"/>
      <c r="JWZ16" s="251"/>
      <c r="JXA16" s="251"/>
      <c r="JXB16" s="251"/>
      <c r="JXC16" s="251"/>
      <c r="JXD16" s="251"/>
      <c r="JXE16" s="251"/>
      <c r="JXF16" s="251"/>
      <c r="JXG16" s="251"/>
      <c r="JXH16" s="251"/>
      <c r="JXI16" s="251"/>
      <c r="JXJ16" s="251"/>
      <c r="JXK16" s="251"/>
      <c r="JXL16" s="251"/>
      <c r="JXM16" s="251"/>
      <c r="JXN16" s="251"/>
      <c r="JXO16" s="251"/>
      <c r="JXP16" s="251"/>
      <c r="JXQ16" s="251"/>
      <c r="JXR16" s="251"/>
      <c r="JXS16" s="251"/>
      <c r="JXT16" s="251"/>
      <c r="JXU16" s="251"/>
      <c r="JXV16" s="251"/>
      <c r="JXW16" s="251"/>
      <c r="JXX16" s="251"/>
      <c r="JXY16" s="251"/>
      <c r="JXZ16" s="251"/>
      <c r="JYA16" s="251"/>
      <c r="JYB16" s="251"/>
      <c r="JYC16" s="251"/>
      <c r="JYD16" s="251"/>
      <c r="JYE16" s="251"/>
      <c r="JYF16" s="251"/>
      <c r="JYG16" s="251"/>
      <c r="JYH16" s="251"/>
      <c r="JYI16" s="251"/>
      <c r="JYJ16" s="251"/>
      <c r="JYK16" s="251"/>
      <c r="JYL16" s="251"/>
      <c r="JYM16" s="251"/>
      <c r="JYN16" s="251"/>
      <c r="JYO16" s="251"/>
      <c r="JYP16" s="251"/>
      <c r="JYQ16" s="251"/>
      <c r="JYR16" s="251"/>
      <c r="JYS16" s="251"/>
      <c r="JYT16" s="251"/>
      <c r="JYU16" s="251"/>
      <c r="JYV16" s="251"/>
      <c r="JYW16" s="251"/>
      <c r="JYX16" s="251"/>
      <c r="JYY16" s="251"/>
      <c r="JYZ16" s="251"/>
      <c r="JZA16" s="251"/>
      <c r="JZB16" s="251"/>
      <c r="JZC16" s="251"/>
      <c r="JZD16" s="251"/>
      <c r="JZE16" s="251"/>
      <c r="JZF16" s="251"/>
      <c r="JZG16" s="251"/>
      <c r="JZH16" s="251"/>
      <c r="JZI16" s="251"/>
      <c r="JZJ16" s="251"/>
      <c r="JZK16" s="251"/>
      <c r="JZL16" s="251"/>
      <c r="JZM16" s="251"/>
      <c r="JZN16" s="251"/>
      <c r="JZO16" s="251"/>
      <c r="JZP16" s="251"/>
      <c r="JZQ16" s="251"/>
      <c r="JZR16" s="251"/>
      <c r="JZS16" s="251"/>
      <c r="JZT16" s="251"/>
      <c r="JZU16" s="251"/>
      <c r="JZV16" s="251"/>
      <c r="JZW16" s="251"/>
      <c r="JZX16" s="251"/>
      <c r="JZY16" s="251"/>
      <c r="JZZ16" s="251"/>
      <c r="KAA16" s="251"/>
      <c r="KAB16" s="251"/>
      <c r="KAC16" s="251"/>
      <c r="KAD16" s="251"/>
      <c r="KAE16" s="251"/>
      <c r="KAF16" s="251"/>
      <c r="KAG16" s="251"/>
      <c r="KAH16" s="251"/>
      <c r="KAI16" s="251"/>
      <c r="KAJ16" s="251"/>
      <c r="KAK16" s="251"/>
      <c r="KAL16" s="251"/>
      <c r="KAM16" s="251"/>
      <c r="KAN16" s="251"/>
      <c r="KAO16" s="251"/>
      <c r="KAP16" s="251"/>
      <c r="KAQ16" s="251"/>
      <c r="KAR16" s="251"/>
      <c r="KAS16" s="251"/>
      <c r="KAT16" s="251"/>
      <c r="KAU16" s="251"/>
      <c r="KAV16" s="251"/>
      <c r="KAW16" s="251"/>
      <c r="KAX16" s="251"/>
      <c r="KAY16" s="251"/>
      <c r="KAZ16" s="251"/>
      <c r="KBA16" s="251"/>
      <c r="KBB16" s="251"/>
      <c r="KBC16" s="251"/>
      <c r="KBD16" s="251"/>
      <c r="KBE16" s="251"/>
      <c r="KBF16" s="251"/>
      <c r="KBG16" s="251"/>
      <c r="KBH16" s="251"/>
      <c r="KBI16" s="251"/>
      <c r="KBJ16" s="251"/>
      <c r="KBK16" s="251"/>
      <c r="KBL16" s="251"/>
      <c r="KBM16" s="251"/>
      <c r="KBN16" s="251"/>
      <c r="KBO16" s="251"/>
      <c r="KBP16" s="251"/>
      <c r="KBQ16" s="251"/>
      <c r="KBR16" s="251"/>
      <c r="KBS16" s="251"/>
      <c r="KBT16" s="251"/>
      <c r="KBU16" s="251"/>
      <c r="KBV16" s="251"/>
      <c r="KBW16" s="251"/>
      <c r="KBX16" s="251"/>
      <c r="KBY16" s="251"/>
      <c r="KBZ16" s="251"/>
      <c r="KCA16" s="251"/>
      <c r="KCB16" s="251"/>
      <c r="KCC16" s="251"/>
      <c r="KCD16" s="251"/>
      <c r="KCE16" s="251"/>
      <c r="KCF16" s="251"/>
      <c r="KCG16" s="251"/>
      <c r="KCH16" s="251"/>
      <c r="KCI16" s="251"/>
      <c r="KCJ16" s="251"/>
      <c r="KCK16" s="251"/>
      <c r="KCL16" s="251"/>
      <c r="KCM16" s="251"/>
      <c r="KCN16" s="251"/>
      <c r="KCO16" s="251"/>
      <c r="KCP16" s="251"/>
      <c r="KCQ16" s="251"/>
      <c r="KCR16" s="251"/>
      <c r="KCS16" s="251"/>
      <c r="KCT16" s="251"/>
      <c r="KCU16" s="251"/>
      <c r="KCV16" s="251"/>
      <c r="KCW16" s="251"/>
      <c r="KCX16" s="251"/>
      <c r="KCY16" s="251"/>
      <c r="KCZ16" s="251"/>
      <c r="KDA16" s="251"/>
      <c r="KDB16" s="251"/>
      <c r="KDC16" s="251"/>
      <c r="KDD16" s="251"/>
      <c r="KDE16" s="251"/>
      <c r="KDF16" s="251"/>
      <c r="KDG16" s="251"/>
      <c r="KDH16" s="251"/>
      <c r="KDI16" s="251"/>
      <c r="KDJ16" s="251"/>
      <c r="KDK16" s="251"/>
      <c r="KDL16" s="251"/>
      <c r="KDM16" s="251"/>
      <c r="KDN16" s="251"/>
      <c r="KDO16" s="251"/>
      <c r="KDP16" s="251"/>
      <c r="KDQ16" s="251"/>
      <c r="KDR16" s="251"/>
      <c r="KDS16" s="251"/>
      <c r="KDT16" s="251"/>
      <c r="KDU16" s="251"/>
      <c r="KDV16" s="251"/>
      <c r="KDW16" s="251"/>
      <c r="KDX16" s="251"/>
      <c r="KDY16" s="251"/>
      <c r="KDZ16" s="251"/>
      <c r="KEA16" s="251"/>
      <c r="KEB16" s="251"/>
      <c r="KEC16" s="251"/>
      <c r="KED16" s="251"/>
      <c r="KEE16" s="251"/>
      <c r="KEF16" s="251"/>
      <c r="KEG16" s="251"/>
      <c r="KEH16" s="251"/>
      <c r="KEI16" s="251"/>
      <c r="KEJ16" s="251"/>
      <c r="KEK16" s="251"/>
      <c r="KEL16" s="251"/>
      <c r="KEM16" s="251"/>
      <c r="KEN16" s="251"/>
      <c r="KEO16" s="251"/>
      <c r="KEP16" s="251"/>
      <c r="KEQ16" s="251"/>
      <c r="KER16" s="251"/>
      <c r="KES16" s="251"/>
      <c r="KET16" s="251"/>
      <c r="KEU16" s="251"/>
      <c r="KEV16" s="251"/>
      <c r="KEW16" s="251"/>
      <c r="KEX16" s="251"/>
      <c r="KEY16" s="251"/>
      <c r="KEZ16" s="251"/>
      <c r="KFA16" s="251"/>
      <c r="KFB16" s="251"/>
      <c r="KFC16" s="251"/>
      <c r="KFD16" s="251"/>
      <c r="KFE16" s="251"/>
      <c r="KFF16" s="251"/>
      <c r="KFG16" s="251"/>
      <c r="KFH16" s="251"/>
      <c r="KFI16" s="251"/>
      <c r="KFJ16" s="251"/>
      <c r="KFK16" s="251"/>
      <c r="KFL16" s="251"/>
      <c r="KFM16" s="251"/>
      <c r="KFN16" s="251"/>
      <c r="KFO16" s="251"/>
      <c r="KFP16" s="251"/>
      <c r="KFQ16" s="251"/>
      <c r="KFR16" s="251"/>
      <c r="KFS16" s="251"/>
      <c r="KFT16" s="251"/>
      <c r="KFU16" s="251"/>
      <c r="KFV16" s="251"/>
      <c r="KFW16" s="251"/>
      <c r="KFX16" s="251"/>
      <c r="KFY16" s="251"/>
      <c r="KFZ16" s="251"/>
      <c r="KGA16" s="251"/>
      <c r="KGB16" s="251"/>
      <c r="KGC16" s="251"/>
      <c r="KGD16" s="251"/>
      <c r="KGE16" s="251"/>
      <c r="KGF16" s="251"/>
      <c r="KGG16" s="251"/>
      <c r="KGH16" s="251"/>
      <c r="KGI16" s="251"/>
      <c r="KGJ16" s="251"/>
      <c r="KGK16" s="251"/>
      <c r="KGL16" s="251"/>
      <c r="KGM16" s="251"/>
      <c r="KGN16" s="251"/>
      <c r="KGO16" s="251"/>
      <c r="KGP16" s="251"/>
      <c r="KGQ16" s="251"/>
      <c r="KGR16" s="251"/>
      <c r="KGS16" s="251"/>
      <c r="KGT16" s="251"/>
      <c r="KGU16" s="251"/>
      <c r="KGV16" s="251"/>
      <c r="KGW16" s="251"/>
      <c r="KGX16" s="251"/>
      <c r="KGY16" s="251"/>
      <c r="KGZ16" s="251"/>
      <c r="KHA16" s="251"/>
      <c r="KHB16" s="251"/>
      <c r="KHC16" s="251"/>
      <c r="KHD16" s="251"/>
      <c r="KHE16" s="251"/>
      <c r="KHF16" s="251"/>
      <c r="KHG16" s="251"/>
      <c r="KHH16" s="251"/>
      <c r="KHI16" s="251"/>
      <c r="KHJ16" s="251"/>
      <c r="KHK16" s="251"/>
      <c r="KHL16" s="251"/>
      <c r="KHM16" s="251"/>
      <c r="KHN16" s="251"/>
      <c r="KHO16" s="251"/>
      <c r="KHP16" s="251"/>
      <c r="KHQ16" s="251"/>
      <c r="KHR16" s="251"/>
      <c r="KHS16" s="251"/>
      <c r="KHT16" s="251"/>
      <c r="KHU16" s="251"/>
      <c r="KHV16" s="251"/>
      <c r="KHW16" s="251"/>
      <c r="KHX16" s="251"/>
      <c r="KHY16" s="251"/>
      <c r="KHZ16" s="251"/>
      <c r="KIA16" s="251"/>
      <c r="KIB16" s="251"/>
      <c r="KIC16" s="251"/>
      <c r="KID16" s="251"/>
      <c r="KIE16" s="251"/>
      <c r="KIF16" s="251"/>
      <c r="KIG16" s="251"/>
      <c r="KIH16" s="251"/>
      <c r="KII16" s="251"/>
      <c r="KIJ16" s="251"/>
      <c r="KIK16" s="251"/>
      <c r="KIL16" s="251"/>
      <c r="KIM16" s="251"/>
      <c r="KIN16" s="251"/>
      <c r="KIO16" s="251"/>
      <c r="KIP16" s="251"/>
      <c r="KIQ16" s="251"/>
      <c r="KIR16" s="251"/>
      <c r="KIS16" s="251"/>
      <c r="KIT16" s="251"/>
      <c r="KIU16" s="251"/>
      <c r="KIV16" s="251"/>
      <c r="KIW16" s="251"/>
      <c r="KIX16" s="251"/>
      <c r="KIY16" s="251"/>
      <c r="KIZ16" s="251"/>
      <c r="KJA16" s="251"/>
      <c r="KJB16" s="251"/>
      <c r="KJC16" s="251"/>
      <c r="KJD16" s="251"/>
      <c r="KJE16" s="251"/>
      <c r="KJF16" s="251"/>
      <c r="KJG16" s="251"/>
      <c r="KJH16" s="251"/>
      <c r="KJI16" s="251"/>
      <c r="KJJ16" s="251"/>
      <c r="KJK16" s="251"/>
      <c r="KJL16" s="251"/>
      <c r="KJM16" s="251"/>
      <c r="KJN16" s="251"/>
      <c r="KJO16" s="251"/>
      <c r="KJP16" s="251"/>
      <c r="KJQ16" s="251"/>
      <c r="KJR16" s="251"/>
      <c r="KJS16" s="251"/>
      <c r="KJT16" s="251"/>
      <c r="KJU16" s="251"/>
      <c r="KJV16" s="251"/>
      <c r="KJW16" s="251"/>
      <c r="KJX16" s="251"/>
      <c r="KJY16" s="251"/>
      <c r="KJZ16" s="251"/>
      <c r="KKA16" s="251"/>
      <c r="KKB16" s="251"/>
      <c r="KKC16" s="251"/>
      <c r="KKD16" s="251"/>
      <c r="KKE16" s="251"/>
      <c r="KKF16" s="251"/>
      <c r="KKG16" s="251"/>
      <c r="KKH16" s="251"/>
      <c r="KKI16" s="251"/>
      <c r="KKJ16" s="251"/>
      <c r="KKK16" s="251"/>
      <c r="KKL16" s="251"/>
      <c r="KKM16" s="251"/>
      <c r="KKN16" s="251"/>
      <c r="KKO16" s="251"/>
      <c r="KKP16" s="251"/>
      <c r="KKQ16" s="251"/>
      <c r="KKR16" s="251"/>
      <c r="KKS16" s="251"/>
      <c r="KKT16" s="251"/>
      <c r="KKU16" s="251"/>
      <c r="KKV16" s="251"/>
      <c r="KKW16" s="251"/>
      <c r="KKX16" s="251"/>
      <c r="KKY16" s="251"/>
      <c r="KKZ16" s="251"/>
      <c r="KLA16" s="251"/>
      <c r="KLB16" s="251"/>
      <c r="KLC16" s="251"/>
      <c r="KLD16" s="251"/>
      <c r="KLE16" s="251"/>
      <c r="KLF16" s="251"/>
      <c r="KLG16" s="251"/>
      <c r="KLH16" s="251"/>
      <c r="KLI16" s="251"/>
      <c r="KLJ16" s="251"/>
      <c r="KLK16" s="251"/>
      <c r="KLL16" s="251"/>
      <c r="KLM16" s="251"/>
      <c r="KLN16" s="251"/>
      <c r="KLO16" s="251"/>
      <c r="KLP16" s="251"/>
      <c r="KLQ16" s="251"/>
      <c r="KLR16" s="251"/>
      <c r="KLS16" s="251"/>
      <c r="KLT16" s="251"/>
      <c r="KLU16" s="251"/>
      <c r="KLV16" s="251"/>
      <c r="KLW16" s="251"/>
      <c r="KLX16" s="251"/>
      <c r="KLY16" s="251"/>
      <c r="KLZ16" s="251"/>
      <c r="KMA16" s="251"/>
      <c r="KMB16" s="251"/>
      <c r="KMC16" s="251"/>
      <c r="KMD16" s="251"/>
      <c r="KME16" s="251"/>
      <c r="KMF16" s="251"/>
      <c r="KMG16" s="251"/>
      <c r="KMH16" s="251"/>
      <c r="KMI16" s="251"/>
      <c r="KMJ16" s="251"/>
      <c r="KMK16" s="251"/>
      <c r="KML16" s="251"/>
      <c r="KMM16" s="251"/>
      <c r="KMN16" s="251"/>
      <c r="KMO16" s="251"/>
      <c r="KMP16" s="251"/>
      <c r="KMQ16" s="251"/>
      <c r="KMR16" s="251"/>
      <c r="KMS16" s="251"/>
      <c r="KMT16" s="251"/>
      <c r="KMU16" s="251"/>
      <c r="KMV16" s="251"/>
      <c r="KMW16" s="251"/>
      <c r="KMX16" s="251"/>
      <c r="KMY16" s="251"/>
      <c r="KMZ16" s="251"/>
      <c r="KNA16" s="251"/>
      <c r="KNB16" s="251"/>
      <c r="KNC16" s="251"/>
      <c r="KND16" s="251"/>
      <c r="KNE16" s="251"/>
      <c r="KNF16" s="251"/>
      <c r="KNG16" s="251"/>
      <c r="KNH16" s="251"/>
      <c r="KNI16" s="251"/>
      <c r="KNJ16" s="251"/>
      <c r="KNK16" s="251"/>
      <c r="KNL16" s="251"/>
      <c r="KNM16" s="251"/>
      <c r="KNN16" s="251"/>
      <c r="KNO16" s="251"/>
      <c r="KNP16" s="251"/>
      <c r="KNQ16" s="251"/>
      <c r="KNR16" s="251"/>
      <c r="KNS16" s="251"/>
      <c r="KNT16" s="251"/>
      <c r="KNU16" s="251"/>
      <c r="KNV16" s="251"/>
      <c r="KNW16" s="251"/>
      <c r="KNX16" s="251"/>
      <c r="KNY16" s="251"/>
      <c r="KNZ16" s="251"/>
      <c r="KOA16" s="251"/>
      <c r="KOB16" s="251"/>
      <c r="KOC16" s="251"/>
      <c r="KOD16" s="251"/>
      <c r="KOE16" s="251"/>
      <c r="KOF16" s="251"/>
      <c r="KOG16" s="251"/>
      <c r="KOH16" s="251"/>
      <c r="KOI16" s="251"/>
      <c r="KOJ16" s="251"/>
      <c r="KOK16" s="251"/>
      <c r="KOL16" s="251"/>
      <c r="KOM16" s="251"/>
      <c r="KON16" s="251"/>
      <c r="KOO16" s="251"/>
      <c r="KOP16" s="251"/>
      <c r="KOQ16" s="251"/>
      <c r="KOR16" s="251"/>
      <c r="KOS16" s="251"/>
      <c r="KOT16" s="251"/>
      <c r="KOU16" s="251"/>
      <c r="KOV16" s="251"/>
      <c r="KOW16" s="251"/>
      <c r="KOX16" s="251"/>
      <c r="KOY16" s="251"/>
      <c r="KOZ16" s="251"/>
      <c r="KPA16" s="251"/>
      <c r="KPB16" s="251"/>
      <c r="KPC16" s="251"/>
      <c r="KPD16" s="251"/>
      <c r="KPE16" s="251"/>
      <c r="KPF16" s="251"/>
      <c r="KPG16" s="251"/>
      <c r="KPH16" s="251"/>
      <c r="KPI16" s="251"/>
      <c r="KPJ16" s="251"/>
      <c r="KPK16" s="251"/>
      <c r="KPL16" s="251"/>
      <c r="KPM16" s="251"/>
      <c r="KPN16" s="251"/>
      <c r="KPO16" s="251"/>
      <c r="KPP16" s="251"/>
      <c r="KPQ16" s="251"/>
      <c r="KPR16" s="251"/>
      <c r="KPS16" s="251"/>
      <c r="KPT16" s="251"/>
      <c r="KPU16" s="251"/>
      <c r="KPV16" s="251"/>
      <c r="KPW16" s="251"/>
      <c r="KPX16" s="251"/>
      <c r="KPY16" s="251"/>
      <c r="KPZ16" s="251"/>
      <c r="KQA16" s="251"/>
      <c r="KQB16" s="251"/>
      <c r="KQC16" s="251"/>
      <c r="KQD16" s="251"/>
      <c r="KQE16" s="251"/>
      <c r="KQF16" s="251"/>
      <c r="KQG16" s="251"/>
      <c r="KQH16" s="251"/>
      <c r="KQI16" s="251"/>
      <c r="KQJ16" s="251"/>
      <c r="KQK16" s="251"/>
      <c r="KQL16" s="251"/>
      <c r="KQM16" s="251"/>
      <c r="KQN16" s="251"/>
      <c r="KQO16" s="251"/>
      <c r="KQP16" s="251"/>
      <c r="KQQ16" s="251"/>
      <c r="KQR16" s="251"/>
      <c r="KQS16" s="251"/>
      <c r="KQT16" s="251"/>
      <c r="KQU16" s="251"/>
      <c r="KQV16" s="251"/>
      <c r="KQW16" s="251"/>
      <c r="KQX16" s="251"/>
      <c r="KQY16" s="251"/>
      <c r="KQZ16" s="251"/>
      <c r="KRA16" s="251"/>
      <c r="KRB16" s="251"/>
      <c r="KRC16" s="251"/>
      <c r="KRD16" s="251"/>
      <c r="KRE16" s="251"/>
      <c r="KRF16" s="251"/>
      <c r="KRG16" s="251"/>
      <c r="KRH16" s="251"/>
      <c r="KRI16" s="251"/>
      <c r="KRJ16" s="251"/>
      <c r="KRK16" s="251"/>
      <c r="KRL16" s="251"/>
      <c r="KRM16" s="251"/>
      <c r="KRN16" s="251"/>
      <c r="KRO16" s="251"/>
      <c r="KRP16" s="251"/>
      <c r="KRQ16" s="251"/>
      <c r="KRR16" s="251"/>
      <c r="KRS16" s="251"/>
      <c r="KRT16" s="251"/>
      <c r="KRU16" s="251"/>
      <c r="KRV16" s="251"/>
      <c r="KRW16" s="251"/>
      <c r="KRX16" s="251"/>
      <c r="KRY16" s="251"/>
      <c r="KRZ16" s="251"/>
      <c r="KSA16" s="251"/>
      <c r="KSB16" s="251"/>
      <c r="KSC16" s="251"/>
      <c r="KSD16" s="251"/>
      <c r="KSE16" s="251"/>
      <c r="KSF16" s="251"/>
      <c r="KSG16" s="251"/>
      <c r="KSH16" s="251"/>
      <c r="KSI16" s="251"/>
      <c r="KSJ16" s="251"/>
      <c r="KSK16" s="251"/>
      <c r="KSL16" s="251"/>
      <c r="KSM16" s="251"/>
      <c r="KSN16" s="251"/>
      <c r="KSO16" s="251"/>
      <c r="KSP16" s="251"/>
      <c r="KSQ16" s="251"/>
      <c r="KSR16" s="251"/>
      <c r="KSS16" s="251"/>
      <c r="KST16" s="251"/>
      <c r="KSU16" s="251"/>
      <c r="KSV16" s="251"/>
      <c r="KSW16" s="251"/>
      <c r="KSX16" s="251"/>
      <c r="KSY16" s="251"/>
      <c r="KSZ16" s="251"/>
      <c r="KTA16" s="251"/>
      <c r="KTB16" s="251"/>
      <c r="KTC16" s="251"/>
      <c r="KTD16" s="251"/>
      <c r="KTE16" s="251"/>
      <c r="KTF16" s="251"/>
      <c r="KTG16" s="251"/>
      <c r="KTH16" s="251"/>
      <c r="KTI16" s="251"/>
      <c r="KTJ16" s="251"/>
      <c r="KTK16" s="251"/>
      <c r="KTL16" s="251"/>
      <c r="KTM16" s="251"/>
      <c r="KTN16" s="251"/>
      <c r="KTO16" s="251"/>
      <c r="KTP16" s="251"/>
      <c r="KTQ16" s="251"/>
      <c r="KTR16" s="251"/>
      <c r="KTS16" s="251"/>
      <c r="KTT16" s="251"/>
      <c r="KTU16" s="251"/>
      <c r="KTV16" s="251"/>
      <c r="KTW16" s="251"/>
      <c r="KTX16" s="251"/>
      <c r="KTY16" s="251"/>
      <c r="KTZ16" s="251"/>
      <c r="KUA16" s="251"/>
      <c r="KUB16" s="251"/>
      <c r="KUC16" s="251"/>
      <c r="KUD16" s="251"/>
      <c r="KUE16" s="251"/>
      <c r="KUF16" s="251"/>
      <c r="KUG16" s="251"/>
      <c r="KUH16" s="251"/>
      <c r="KUI16" s="251"/>
      <c r="KUJ16" s="251"/>
      <c r="KUK16" s="251"/>
      <c r="KUL16" s="251"/>
      <c r="KUM16" s="251"/>
      <c r="KUN16" s="251"/>
      <c r="KUO16" s="251"/>
      <c r="KUP16" s="251"/>
      <c r="KUQ16" s="251"/>
      <c r="KUR16" s="251"/>
      <c r="KUS16" s="251"/>
      <c r="KUT16" s="251"/>
      <c r="KUU16" s="251"/>
      <c r="KUV16" s="251"/>
      <c r="KUW16" s="251"/>
      <c r="KUX16" s="251"/>
      <c r="KUY16" s="251"/>
      <c r="KUZ16" s="251"/>
      <c r="KVA16" s="251"/>
      <c r="KVB16" s="251"/>
      <c r="KVC16" s="251"/>
      <c r="KVD16" s="251"/>
      <c r="KVE16" s="251"/>
      <c r="KVF16" s="251"/>
      <c r="KVG16" s="251"/>
      <c r="KVH16" s="251"/>
      <c r="KVI16" s="251"/>
      <c r="KVJ16" s="251"/>
      <c r="KVK16" s="251"/>
      <c r="KVL16" s="251"/>
      <c r="KVM16" s="251"/>
      <c r="KVN16" s="251"/>
      <c r="KVO16" s="251"/>
      <c r="KVP16" s="251"/>
      <c r="KVQ16" s="251"/>
      <c r="KVR16" s="251"/>
      <c r="KVS16" s="251"/>
      <c r="KVT16" s="251"/>
      <c r="KVU16" s="251"/>
      <c r="KVV16" s="251"/>
      <c r="KVW16" s="251"/>
      <c r="KVX16" s="251"/>
      <c r="KVY16" s="251"/>
      <c r="KVZ16" s="251"/>
      <c r="KWA16" s="251"/>
      <c r="KWB16" s="251"/>
      <c r="KWC16" s="251"/>
      <c r="KWD16" s="251"/>
      <c r="KWE16" s="251"/>
      <c r="KWF16" s="251"/>
      <c r="KWG16" s="251"/>
      <c r="KWH16" s="251"/>
      <c r="KWI16" s="251"/>
      <c r="KWJ16" s="251"/>
      <c r="KWK16" s="251"/>
      <c r="KWL16" s="251"/>
      <c r="KWM16" s="251"/>
      <c r="KWN16" s="251"/>
      <c r="KWO16" s="251"/>
      <c r="KWP16" s="251"/>
      <c r="KWQ16" s="251"/>
      <c r="KWR16" s="251"/>
      <c r="KWS16" s="251"/>
      <c r="KWT16" s="251"/>
      <c r="KWU16" s="251"/>
      <c r="KWV16" s="251"/>
      <c r="KWW16" s="251"/>
      <c r="KWX16" s="251"/>
      <c r="KWY16" s="251"/>
      <c r="KWZ16" s="251"/>
      <c r="KXA16" s="251"/>
      <c r="KXB16" s="251"/>
      <c r="KXC16" s="251"/>
      <c r="KXD16" s="251"/>
      <c r="KXE16" s="251"/>
      <c r="KXF16" s="251"/>
      <c r="KXG16" s="251"/>
      <c r="KXH16" s="251"/>
      <c r="KXI16" s="251"/>
      <c r="KXJ16" s="251"/>
      <c r="KXK16" s="251"/>
      <c r="KXL16" s="251"/>
      <c r="KXM16" s="251"/>
      <c r="KXN16" s="251"/>
      <c r="KXO16" s="251"/>
      <c r="KXP16" s="251"/>
      <c r="KXQ16" s="251"/>
      <c r="KXR16" s="251"/>
      <c r="KXS16" s="251"/>
      <c r="KXT16" s="251"/>
      <c r="KXU16" s="251"/>
      <c r="KXV16" s="251"/>
      <c r="KXW16" s="251"/>
      <c r="KXX16" s="251"/>
      <c r="KXY16" s="251"/>
      <c r="KXZ16" s="251"/>
      <c r="KYA16" s="251"/>
      <c r="KYB16" s="251"/>
      <c r="KYC16" s="251"/>
      <c r="KYD16" s="251"/>
      <c r="KYE16" s="251"/>
      <c r="KYF16" s="251"/>
      <c r="KYG16" s="251"/>
      <c r="KYH16" s="251"/>
      <c r="KYI16" s="251"/>
      <c r="KYJ16" s="251"/>
      <c r="KYK16" s="251"/>
      <c r="KYL16" s="251"/>
      <c r="KYM16" s="251"/>
      <c r="KYN16" s="251"/>
      <c r="KYO16" s="251"/>
      <c r="KYP16" s="251"/>
      <c r="KYQ16" s="251"/>
      <c r="KYR16" s="251"/>
      <c r="KYS16" s="251"/>
      <c r="KYT16" s="251"/>
      <c r="KYU16" s="251"/>
      <c r="KYV16" s="251"/>
      <c r="KYW16" s="251"/>
      <c r="KYX16" s="251"/>
      <c r="KYY16" s="251"/>
      <c r="KYZ16" s="251"/>
      <c r="KZA16" s="251"/>
      <c r="KZB16" s="251"/>
      <c r="KZC16" s="251"/>
      <c r="KZD16" s="251"/>
      <c r="KZE16" s="251"/>
      <c r="KZF16" s="251"/>
      <c r="KZG16" s="251"/>
      <c r="KZH16" s="251"/>
      <c r="KZI16" s="251"/>
      <c r="KZJ16" s="251"/>
      <c r="KZK16" s="251"/>
      <c r="KZL16" s="251"/>
      <c r="KZM16" s="251"/>
      <c r="KZN16" s="251"/>
      <c r="KZO16" s="251"/>
      <c r="KZP16" s="251"/>
      <c r="KZQ16" s="251"/>
      <c r="KZR16" s="251"/>
      <c r="KZS16" s="251"/>
      <c r="KZT16" s="251"/>
      <c r="KZU16" s="251"/>
      <c r="KZV16" s="251"/>
      <c r="KZW16" s="251"/>
      <c r="KZX16" s="251"/>
      <c r="KZY16" s="251"/>
      <c r="KZZ16" s="251"/>
      <c r="LAA16" s="251"/>
      <c r="LAB16" s="251"/>
      <c r="LAC16" s="251"/>
      <c r="LAD16" s="251"/>
      <c r="LAE16" s="251"/>
      <c r="LAF16" s="251"/>
      <c r="LAG16" s="251"/>
      <c r="LAH16" s="251"/>
      <c r="LAI16" s="251"/>
      <c r="LAJ16" s="251"/>
      <c r="LAK16" s="251"/>
      <c r="LAL16" s="251"/>
      <c r="LAM16" s="251"/>
      <c r="LAN16" s="251"/>
      <c r="LAO16" s="251"/>
      <c r="LAP16" s="251"/>
      <c r="LAQ16" s="251"/>
      <c r="LAR16" s="251"/>
      <c r="LAS16" s="251"/>
      <c r="LAT16" s="251"/>
      <c r="LAU16" s="251"/>
      <c r="LAV16" s="251"/>
      <c r="LAW16" s="251"/>
      <c r="LAX16" s="251"/>
      <c r="LAY16" s="251"/>
      <c r="LAZ16" s="251"/>
      <c r="LBA16" s="251"/>
      <c r="LBB16" s="251"/>
      <c r="LBC16" s="251"/>
      <c r="LBD16" s="251"/>
      <c r="LBE16" s="251"/>
      <c r="LBF16" s="251"/>
      <c r="LBG16" s="251"/>
      <c r="LBH16" s="251"/>
      <c r="LBI16" s="251"/>
      <c r="LBJ16" s="251"/>
      <c r="LBK16" s="251"/>
      <c r="LBL16" s="251"/>
      <c r="LBM16" s="251"/>
      <c r="LBN16" s="251"/>
      <c r="LBO16" s="251"/>
      <c r="LBP16" s="251"/>
      <c r="LBQ16" s="251"/>
      <c r="LBR16" s="251"/>
      <c r="LBS16" s="251"/>
      <c r="LBT16" s="251"/>
      <c r="LBU16" s="251"/>
      <c r="LBV16" s="251"/>
      <c r="LBW16" s="251"/>
      <c r="LBX16" s="251"/>
      <c r="LBY16" s="251"/>
      <c r="LBZ16" s="251"/>
      <c r="LCA16" s="251"/>
      <c r="LCB16" s="251"/>
      <c r="LCC16" s="251"/>
      <c r="LCD16" s="251"/>
      <c r="LCE16" s="251"/>
      <c r="LCF16" s="251"/>
      <c r="LCG16" s="251"/>
      <c r="LCH16" s="251"/>
      <c r="LCI16" s="251"/>
      <c r="LCJ16" s="251"/>
      <c r="LCK16" s="251"/>
      <c r="LCL16" s="251"/>
      <c r="LCM16" s="251"/>
      <c r="LCN16" s="251"/>
      <c r="LCO16" s="251"/>
      <c r="LCP16" s="251"/>
      <c r="LCQ16" s="251"/>
      <c r="LCR16" s="251"/>
      <c r="LCS16" s="251"/>
      <c r="LCT16" s="251"/>
      <c r="LCU16" s="251"/>
      <c r="LCV16" s="251"/>
      <c r="LCW16" s="251"/>
      <c r="LCX16" s="251"/>
      <c r="LCY16" s="251"/>
      <c r="LCZ16" s="251"/>
      <c r="LDA16" s="251"/>
      <c r="LDB16" s="251"/>
      <c r="LDC16" s="251"/>
      <c r="LDD16" s="251"/>
      <c r="LDE16" s="251"/>
      <c r="LDF16" s="251"/>
      <c r="LDG16" s="251"/>
      <c r="LDH16" s="251"/>
      <c r="LDI16" s="251"/>
      <c r="LDJ16" s="251"/>
      <c r="LDK16" s="251"/>
      <c r="LDL16" s="251"/>
      <c r="LDM16" s="251"/>
      <c r="LDN16" s="251"/>
      <c r="LDO16" s="251"/>
      <c r="LDP16" s="251"/>
      <c r="LDQ16" s="251"/>
      <c r="LDR16" s="251"/>
      <c r="LDS16" s="251"/>
      <c r="LDT16" s="251"/>
      <c r="LDU16" s="251"/>
      <c r="LDV16" s="251"/>
      <c r="LDW16" s="251"/>
      <c r="LDX16" s="251"/>
      <c r="LDY16" s="251"/>
      <c r="LDZ16" s="251"/>
      <c r="LEA16" s="251"/>
      <c r="LEB16" s="251"/>
      <c r="LEC16" s="251"/>
      <c r="LED16" s="251"/>
      <c r="LEE16" s="251"/>
      <c r="LEF16" s="251"/>
      <c r="LEG16" s="251"/>
      <c r="LEH16" s="251"/>
      <c r="LEI16" s="251"/>
      <c r="LEJ16" s="251"/>
      <c r="LEK16" s="251"/>
      <c r="LEL16" s="251"/>
      <c r="LEM16" s="251"/>
      <c r="LEN16" s="251"/>
      <c r="LEO16" s="251"/>
      <c r="LEP16" s="251"/>
      <c r="LEQ16" s="251"/>
      <c r="LER16" s="251"/>
      <c r="LES16" s="251"/>
      <c r="LET16" s="251"/>
      <c r="LEU16" s="251"/>
      <c r="LEV16" s="251"/>
      <c r="LEW16" s="251"/>
      <c r="LEX16" s="251"/>
      <c r="LEY16" s="251"/>
      <c r="LEZ16" s="251"/>
      <c r="LFA16" s="251"/>
      <c r="LFB16" s="251"/>
      <c r="LFC16" s="251"/>
      <c r="LFD16" s="251"/>
      <c r="LFE16" s="251"/>
      <c r="LFF16" s="251"/>
      <c r="LFG16" s="251"/>
      <c r="LFH16" s="251"/>
      <c r="LFI16" s="251"/>
      <c r="LFJ16" s="251"/>
      <c r="LFK16" s="251"/>
      <c r="LFL16" s="251"/>
      <c r="LFM16" s="251"/>
      <c r="LFN16" s="251"/>
      <c r="LFO16" s="251"/>
      <c r="LFP16" s="251"/>
      <c r="LFQ16" s="251"/>
      <c r="LFR16" s="251"/>
      <c r="LFS16" s="251"/>
      <c r="LFT16" s="251"/>
      <c r="LFU16" s="251"/>
      <c r="LFV16" s="251"/>
      <c r="LFW16" s="251"/>
      <c r="LFX16" s="251"/>
      <c r="LFY16" s="251"/>
      <c r="LFZ16" s="251"/>
      <c r="LGA16" s="251"/>
      <c r="LGB16" s="251"/>
      <c r="LGC16" s="251"/>
      <c r="LGD16" s="251"/>
      <c r="LGE16" s="251"/>
      <c r="LGF16" s="251"/>
      <c r="LGG16" s="251"/>
      <c r="LGH16" s="251"/>
      <c r="LGI16" s="251"/>
      <c r="LGJ16" s="251"/>
      <c r="LGK16" s="251"/>
      <c r="LGL16" s="251"/>
      <c r="LGM16" s="251"/>
      <c r="LGN16" s="251"/>
      <c r="LGO16" s="251"/>
      <c r="LGP16" s="251"/>
      <c r="LGQ16" s="251"/>
      <c r="LGR16" s="251"/>
      <c r="LGS16" s="251"/>
      <c r="LGT16" s="251"/>
      <c r="LGU16" s="251"/>
      <c r="LGV16" s="251"/>
      <c r="LGW16" s="251"/>
      <c r="LGX16" s="251"/>
      <c r="LGY16" s="251"/>
      <c r="LGZ16" s="251"/>
      <c r="LHA16" s="251"/>
      <c r="LHB16" s="251"/>
      <c r="LHC16" s="251"/>
      <c r="LHD16" s="251"/>
      <c r="LHE16" s="251"/>
      <c r="LHF16" s="251"/>
      <c r="LHG16" s="251"/>
      <c r="LHH16" s="251"/>
      <c r="LHI16" s="251"/>
      <c r="LHJ16" s="251"/>
      <c r="LHK16" s="251"/>
      <c r="LHL16" s="251"/>
      <c r="LHM16" s="251"/>
      <c r="LHN16" s="251"/>
      <c r="LHO16" s="251"/>
      <c r="LHP16" s="251"/>
      <c r="LHQ16" s="251"/>
      <c r="LHR16" s="251"/>
      <c r="LHS16" s="251"/>
      <c r="LHT16" s="251"/>
      <c r="LHU16" s="251"/>
      <c r="LHV16" s="251"/>
      <c r="LHW16" s="251"/>
      <c r="LHX16" s="251"/>
      <c r="LHY16" s="251"/>
      <c r="LHZ16" s="251"/>
      <c r="LIA16" s="251"/>
      <c r="LIB16" s="251"/>
      <c r="LIC16" s="251"/>
      <c r="LID16" s="251"/>
      <c r="LIE16" s="251"/>
      <c r="LIF16" s="251"/>
      <c r="LIG16" s="251"/>
      <c r="LIH16" s="251"/>
      <c r="LII16" s="251"/>
      <c r="LIJ16" s="251"/>
      <c r="LIK16" s="251"/>
      <c r="LIL16" s="251"/>
      <c r="LIM16" s="251"/>
      <c r="LIN16" s="251"/>
      <c r="LIO16" s="251"/>
      <c r="LIP16" s="251"/>
      <c r="LIQ16" s="251"/>
      <c r="LIR16" s="251"/>
      <c r="LIS16" s="251"/>
      <c r="LIT16" s="251"/>
      <c r="LIU16" s="251"/>
      <c r="LIV16" s="251"/>
      <c r="LIW16" s="251"/>
      <c r="LIX16" s="251"/>
      <c r="LIY16" s="251"/>
      <c r="LIZ16" s="251"/>
      <c r="LJA16" s="251"/>
      <c r="LJB16" s="251"/>
      <c r="LJC16" s="251"/>
      <c r="LJD16" s="251"/>
      <c r="LJE16" s="251"/>
      <c r="LJF16" s="251"/>
      <c r="LJG16" s="251"/>
      <c r="LJH16" s="251"/>
      <c r="LJI16" s="251"/>
      <c r="LJJ16" s="251"/>
      <c r="LJK16" s="251"/>
      <c r="LJL16" s="251"/>
      <c r="LJM16" s="251"/>
      <c r="LJN16" s="251"/>
      <c r="LJO16" s="251"/>
      <c r="LJP16" s="251"/>
      <c r="LJQ16" s="251"/>
      <c r="LJR16" s="251"/>
      <c r="LJS16" s="251"/>
      <c r="LJT16" s="251"/>
      <c r="LJU16" s="251"/>
      <c r="LJV16" s="251"/>
      <c r="LJW16" s="251"/>
      <c r="LJX16" s="251"/>
      <c r="LJY16" s="251"/>
      <c r="LJZ16" s="251"/>
      <c r="LKA16" s="251"/>
      <c r="LKB16" s="251"/>
      <c r="LKC16" s="251"/>
      <c r="LKD16" s="251"/>
      <c r="LKE16" s="251"/>
      <c r="LKF16" s="251"/>
      <c r="LKG16" s="251"/>
      <c r="LKH16" s="251"/>
      <c r="LKI16" s="251"/>
      <c r="LKJ16" s="251"/>
      <c r="LKK16" s="251"/>
      <c r="LKL16" s="251"/>
      <c r="LKM16" s="251"/>
      <c r="LKN16" s="251"/>
      <c r="LKO16" s="251"/>
      <c r="LKP16" s="251"/>
      <c r="LKQ16" s="251"/>
      <c r="LKR16" s="251"/>
      <c r="LKS16" s="251"/>
      <c r="LKT16" s="251"/>
      <c r="LKU16" s="251"/>
      <c r="LKV16" s="251"/>
      <c r="LKW16" s="251"/>
      <c r="LKX16" s="251"/>
      <c r="LKY16" s="251"/>
      <c r="LKZ16" s="251"/>
      <c r="LLA16" s="251"/>
      <c r="LLB16" s="251"/>
      <c r="LLC16" s="251"/>
      <c r="LLD16" s="251"/>
      <c r="LLE16" s="251"/>
      <c r="LLF16" s="251"/>
      <c r="LLG16" s="251"/>
      <c r="LLH16" s="251"/>
      <c r="LLI16" s="251"/>
      <c r="LLJ16" s="251"/>
      <c r="LLK16" s="251"/>
      <c r="LLL16" s="251"/>
      <c r="LLM16" s="251"/>
      <c r="LLN16" s="251"/>
      <c r="LLO16" s="251"/>
      <c r="LLP16" s="251"/>
      <c r="LLQ16" s="251"/>
      <c r="LLR16" s="251"/>
      <c r="LLS16" s="251"/>
      <c r="LLT16" s="251"/>
      <c r="LLU16" s="251"/>
      <c r="LLV16" s="251"/>
      <c r="LLW16" s="251"/>
      <c r="LLX16" s="251"/>
      <c r="LLY16" s="251"/>
      <c r="LLZ16" s="251"/>
      <c r="LMA16" s="251"/>
      <c r="LMB16" s="251"/>
      <c r="LMC16" s="251"/>
      <c r="LMD16" s="251"/>
      <c r="LME16" s="251"/>
      <c r="LMF16" s="251"/>
      <c r="LMG16" s="251"/>
      <c r="LMH16" s="251"/>
      <c r="LMI16" s="251"/>
      <c r="LMJ16" s="251"/>
      <c r="LMK16" s="251"/>
      <c r="LML16" s="251"/>
      <c r="LMM16" s="251"/>
      <c r="LMN16" s="251"/>
      <c r="LMO16" s="251"/>
      <c r="LMP16" s="251"/>
      <c r="LMQ16" s="251"/>
      <c r="LMR16" s="251"/>
      <c r="LMS16" s="251"/>
      <c r="LMT16" s="251"/>
      <c r="LMU16" s="251"/>
      <c r="LMV16" s="251"/>
      <c r="LMW16" s="251"/>
      <c r="LMX16" s="251"/>
      <c r="LMY16" s="251"/>
      <c r="LMZ16" s="251"/>
      <c r="LNA16" s="251"/>
      <c r="LNB16" s="251"/>
      <c r="LNC16" s="251"/>
      <c r="LND16" s="251"/>
      <c r="LNE16" s="251"/>
      <c r="LNF16" s="251"/>
      <c r="LNG16" s="251"/>
      <c r="LNH16" s="251"/>
      <c r="LNI16" s="251"/>
      <c r="LNJ16" s="251"/>
      <c r="LNK16" s="251"/>
      <c r="LNL16" s="251"/>
      <c r="LNM16" s="251"/>
      <c r="LNN16" s="251"/>
      <c r="LNO16" s="251"/>
      <c r="LNP16" s="251"/>
      <c r="LNQ16" s="251"/>
      <c r="LNR16" s="251"/>
      <c r="LNS16" s="251"/>
      <c r="LNT16" s="251"/>
      <c r="LNU16" s="251"/>
      <c r="LNV16" s="251"/>
      <c r="LNW16" s="251"/>
      <c r="LNX16" s="251"/>
      <c r="LNY16" s="251"/>
      <c r="LNZ16" s="251"/>
      <c r="LOA16" s="251"/>
      <c r="LOB16" s="251"/>
      <c r="LOC16" s="251"/>
      <c r="LOD16" s="251"/>
      <c r="LOE16" s="251"/>
      <c r="LOF16" s="251"/>
      <c r="LOG16" s="251"/>
      <c r="LOH16" s="251"/>
      <c r="LOI16" s="251"/>
      <c r="LOJ16" s="251"/>
      <c r="LOK16" s="251"/>
      <c r="LOL16" s="251"/>
      <c r="LOM16" s="251"/>
      <c r="LON16" s="251"/>
      <c r="LOO16" s="251"/>
      <c r="LOP16" s="251"/>
      <c r="LOQ16" s="251"/>
      <c r="LOR16" s="251"/>
      <c r="LOS16" s="251"/>
      <c r="LOT16" s="251"/>
      <c r="LOU16" s="251"/>
      <c r="LOV16" s="251"/>
      <c r="LOW16" s="251"/>
      <c r="LOX16" s="251"/>
      <c r="LOY16" s="251"/>
      <c r="LOZ16" s="251"/>
      <c r="LPA16" s="251"/>
      <c r="LPB16" s="251"/>
      <c r="LPC16" s="251"/>
      <c r="LPD16" s="251"/>
      <c r="LPE16" s="251"/>
      <c r="LPF16" s="251"/>
      <c r="LPG16" s="251"/>
      <c r="LPH16" s="251"/>
      <c r="LPI16" s="251"/>
      <c r="LPJ16" s="251"/>
      <c r="LPK16" s="251"/>
      <c r="LPL16" s="251"/>
      <c r="LPM16" s="251"/>
      <c r="LPN16" s="251"/>
      <c r="LPO16" s="251"/>
      <c r="LPP16" s="251"/>
      <c r="LPQ16" s="251"/>
      <c r="LPR16" s="251"/>
      <c r="LPS16" s="251"/>
      <c r="LPT16" s="251"/>
      <c r="LPU16" s="251"/>
      <c r="LPV16" s="251"/>
      <c r="LPW16" s="251"/>
      <c r="LPX16" s="251"/>
      <c r="LPY16" s="251"/>
      <c r="LPZ16" s="251"/>
      <c r="LQA16" s="251"/>
      <c r="LQB16" s="251"/>
      <c r="LQC16" s="251"/>
      <c r="LQD16" s="251"/>
      <c r="LQE16" s="251"/>
      <c r="LQF16" s="251"/>
      <c r="LQG16" s="251"/>
      <c r="LQH16" s="251"/>
      <c r="LQI16" s="251"/>
      <c r="LQJ16" s="251"/>
      <c r="LQK16" s="251"/>
      <c r="LQL16" s="251"/>
      <c r="LQM16" s="251"/>
      <c r="LQN16" s="251"/>
      <c r="LQO16" s="251"/>
      <c r="LQP16" s="251"/>
      <c r="LQQ16" s="251"/>
      <c r="LQR16" s="251"/>
      <c r="LQS16" s="251"/>
      <c r="LQT16" s="251"/>
      <c r="LQU16" s="251"/>
      <c r="LQV16" s="251"/>
      <c r="LQW16" s="251"/>
      <c r="LQX16" s="251"/>
      <c r="LQY16" s="251"/>
      <c r="LQZ16" s="251"/>
      <c r="LRA16" s="251"/>
      <c r="LRB16" s="251"/>
      <c r="LRC16" s="251"/>
      <c r="LRD16" s="251"/>
      <c r="LRE16" s="251"/>
      <c r="LRF16" s="251"/>
      <c r="LRG16" s="251"/>
      <c r="LRH16" s="251"/>
      <c r="LRI16" s="251"/>
      <c r="LRJ16" s="251"/>
      <c r="LRK16" s="251"/>
      <c r="LRL16" s="251"/>
      <c r="LRM16" s="251"/>
      <c r="LRN16" s="251"/>
      <c r="LRO16" s="251"/>
      <c r="LRP16" s="251"/>
      <c r="LRQ16" s="251"/>
      <c r="LRR16" s="251"/>
      <c r="LRS16" s="251"/>
      <c r="LRT16" s="251"/>
      <c r="LRU16" s="251"/>
      <c r="LRV16" s="251"/>
      <c r="LRW16" s="251"/>
      <c r="LRX16" s="251"/>
      <c r="LRY16" s="251"/>
      <c r="LRZ16" s="251"/>
      <c r="LSA16" s="251"/>
      <c r="LSB16" s="251"/>
      <c r="LSC16" s="251"/>
      <c r="LSD16" s="251"/>
      <c r="LSE16" s="251"/>
      <c r="LSF16" s="251"/>
      <c r="LSG16" s="251"/>
      <c r="LSH16" s="251"/>
      <c r="LSI16" s="251"/>
      <c r="LSJ16" s="251"/>
      <c r="LSK16" s="251"/>
      <c r="LSL16" s="251"/>
      <c r="LSM16" s="251"/>
      <c r="LSN16" s="251"/>
      <c r="LSO16" s="251"/>
      <c r="LSP16" s="251"/>
      <c r="LSQ16" s="251"/>
      <c r="LSR16" s="251"/>
      <c r="LSS16" s="251"/>
      <c r="LST16" s="251"/>
      <c r="LSU16" s="251"/>
      <c r="LSV16" s="251"/>
      <c r="LSW16" s="251"/>
      <c r="LSX16" s="251"/>
      <c r="LSY16" s="251"/>
      <c r="LSZ16" s="251"/>
      <c r="LTA16" s="251"/>
      <c r="LTB16" s="251"/>
      <c r="LTC16" s="251"/>
      <c r="LTD16" s="251"/>
      <c r="LTE16" s="251"/>
      <c r="LTF16" s="251"/>
      <c r="LTG16" s="251"/>
      <c r="LTH16" s="251"/>
      <c r="LTI16" s="251"/>
      <c r="LTJ16" s="251"/>
      <c r="LTK16" s="251"/>
      <c r="LTL16" s="251"/>
      <c r="LTM16" s="251"/>
      <c r="LTN16" s="251"/>
      <c r="LTO16" s="251"/>
      <c r="LTP16" s="251"/>
      <c r="LTQ16" s="251"/>
      <c r="LTR16" s="251"/>
      <c r="LTS16" s="251"/>
      <c r="LTT16" s="251"/>
      <c r="LTU16" s="251"/>
      <c r="LTV16" s="251"/>
      <c r="LTW16" s="251"/>
      <c r="LTX16" s="251"/>
      <c r="LTY16" s="251"/>
      <c r="LTZ16" s="251"/>
      <c r="LUA16" s="251"/>
      <c r="LUB16" s="251"/>
      <c r="LUC16" s="251"/>
      <c r="LUD16" s="251"/>
      <c r="LUE16" s="251"/>
      <c r="LUF16" s="251"/>
      <c r="LUG16" s="251"/>
      <c r="LUH16" s="251"/>
      <c r="LUI16" s="251"/>
      <c r="LUJ16" s="251"/>
      <c r="LUK16" s="251"/>
      <c r="LUL16" s="251"/>
      <c r="LUM16" s="251"/>
      <c r="LUN16" s="251"/>
      <c r="LUO16" s="251"/>
      <c r="LUP16" s="251"/>
      <c r="LUQ16" s="251"/>
      <c r="LUR16" s="251"/>
      <c r="LUS16" s="251"/>
      <c r="LUT16" s="251"/>
      <c r="LUU16" s="251"/>
      <c r="LUV16" s="251"/>
      <c r="LUW16" s="251"/>
      <c r="LUX16" s="251"/>
      <c r="LUY16" s="251"/>
      <c r="LUZ16" s="251"/>
      <c r="LVA16" s="251"/>
      <c r="LVB16" s="251"/>
      <c r="LVC16" s="251"/>
      <c r="LVD16" s="251"/>
      <c r="LVE16" s="251"/>
      <c r="LVF16" s="251"/>
      <c r="LVG16" s="251"/>
      <c r="LVH16" s="251"/>
      <c r="LVI16" s="251"/>
      <c r="LVJ16" s="251"/>
      <c r="LVK16" s="251"/>
      <c r="LVL16" s="251"/>
      <c r="LVM16" s="251"/>
      <c r="LVN16" s="251"/>
      <c r="LVO16" s="251"/>
      <c r="LVP16" s="251"/>
      <c r="LVQ16" s="251"/>
      <c r="LVR16" s="251"/>
      <c r="LVS16" s="251"/>
      <c r="LVT16" s="251"/>
      <c r="LVU16" s="251"/>
      <c r="LVV16" s="251"/>
      <c r="LVW16" s="251"/>
      <c r="LVX16" s="251"/>
      <c r="LVY16" s="251"/>
      <c r="LVZ16" s="251"/>
      <c r="LWA16" s="251"/>
      <c r="LWB16" s="251"/>
      <c r="LWC16" s="251"/>
      <c r="LWD16" s="251"/>
      <c r="LWE16" s="251"/>
      <c r="LWF16" s="251"/>
      <c r="LWG16" s="251"/>
      <c r="LWH16" s="251"/>
      <c r="LWI16" s="251"/>
      <c r="LWJ16" s="251"/>
      <c r="LWK16" s="251"/>
      <c r="LWL16" s="251"/>
      <c r="LWM16" s="251"/>
      <c r="LWN16" s="251"/>
      <c r="LWO16" s="251"/>
      <c r="LWP16" s="251"/>
      <c r="LWQ16" s="251"/>
      <c r="LWR16" s="251"/>
      <c r="LWS16" s="251"/>
      <c r="LWT16" s="251"/>
      <c r="LWU16" s="251"/>
      <c r="LWV16" s="251"/>
      <c r="LWW16" s="251"/>
      <c r="LWX16" s="251"/>
      <c r="LWY16" s="251"/>
      <c r="LWZ16" s="251"/>
      <c r="LXA16" s="251"/>
      <c r="LXB16" s="251"/>
      <c r="LXC16" s="251"/>
      <c r="LXD16" s="251"/>
      <c r="LXE16" s="251"/>
      <c r="LXF16" s="251"/>
      <c r="LXG16" s="251"/>
      <c r="LXH16" s="251"/>
      <c r="LXI16" s="251"/>
      <c r="LXJ16" s="251"/>
      <c r="LXK16" s="251"/>
      <c r="LXL16" s="251"/>
      <c r="LXM16" s="251"/>
      <c r="LXN16" s="251"/>
      <c r="LXO16" s="251"/>
      <c r="LXP16" s="251"/>
      <c r="LXQ16" s="251"/>
      <c r="LXR16" s="251"/>
      <c r="LXS16" s="251"/>
      <c r="LXT16" s="251"/>
      <c r="LXU16" s="251"/>
      <c r="LXV16" s="251"/>
      <c r="LXW16" s="251"/>
      <c r="LXX16" s="251"/>
      <c r="LXY16" s="251"/>
      <c r="LXZ16" s="251"/>
      <c r="LYA16" s="251"/>
      <c r="LYB16" s="251"/>
      <c r="LYC16" s="251"/>
      <c r="LYD16" s="251"/>
      <c r="LYE16" s="251"/>
      <c r="LYF16" s="251"/>
      <c r="LYG16" s="251"/>
      <c r="LYH16" s="251"/>
      <c r="LYI16" s="251"/>
      <c r="LYJ16" s="251"/>
      <c r="LYK16" s="251"/>
      <c r="LYL16" s="251"/>
      <c r="LYM16" s="251"/>
      <c r="LYN16" s="251"/>
      <c r="LYO16" s="251"/>
      <c r="LYP16" s="251"/>
      <c r="LYQ16" s="251"/>
      <c r="LYR16" s="251"/>
      <c r="LYS16" s="251"/>
      <c r="LYT16" s="251"/>
      <c r="LYU16" s="251"/>
      <c r="LYV16" s="251"/>
      <c r="LYW16" s="251"/>
      <c r="LYX16" s="251"/>
      <c r="LYY16" s="251"/>
      <c r="LYZ16" s="251"/>
      <c r="LZA16" s="251"/>
      <c r="LZB16" s="251"/>
      <c r="LZC16" s="251"/>
      <c r="LZD16" s="251"/>
      <c r="LZE16" s="251"/>
      <c r="LZF16" s="251"/>
      <c r="LZG16" s="251"/>
      <c r="LZH16" s="251"/>
      <c r="LZI16" s="251"/>
      <c r="LZJ16" s="251"/>
      <c r="LZK16" s="251"/>
      <c r="LZL16" s="251"/>
      <c r="LZM16" s="251"/>
      <c r="LZN16" s="251"/>
      <c r="LZO16" s="251"/>
      <c r="LZP16" s="251"/>
      <c r="LZQ16" s="251"/>
      <c r="LZR16" s="251"/>
      <c r="LZS16" s="251"/>
      <c r="LZT16" s="251"/>
      <c r="LZU16" s="251"/>
      <c r="LZV16" s="251"/>
      <c r="LZW16" s="251"/>
      <c r="LZX16" s="251"/>
      <c r="LZY16" s="251"/>
      <c r="LZZ16" s="251"/>
      <c r="MAA16" s="251"/>
      <c r="MAB16" s="251"/>
      <c r="MAC16" s="251"/>
      <c r="MAD16" s="251"/>
      <c r="MAE16" s="251"/>
      <c r="MAF16" s="251"/>
      <c r="MAG16" s="251"/>
      <c r="MAH16" s="251"/>
      <c r="MAI16" s="251"/>
      <c r="MAJ16" s="251"/>
      <c r="MAK16" s="251"/>
      <c r="MAL16" s="251"/>
      <c r="MAM16" s="251"/>
      <c r="MAN16" s="251"/>
      <c r="MAO16" s="251"/>
      <c r="MAP16" s="251"/>
      <c r="MAQ16" s="251"/>
      <c r="MAR16" s="251"/>
      <c r="MAS16" s="251"/>
      <c r="MAT16" s="251"/>
      <c r="MAU16" s="251"/>
      <c r="MAV16" s="251"/>
      <c r="MAW16" s="251"/>
      <c r="MAX16" s="251"/>
      <c r="MAY16" s="251"/>
      <c r="MAZ16" s="251"/>
      <c r="MBA16" s="251"/>
      <c r="MBB16" s="251"/>
      <c r="MBC16" s="251"/>
      <c r="MBD16" s="251"/>
      <c r="MBE16" s="251"/>
      <c r="MBF16" s="251"/>
      <c r="MBG16" s="251"/>
      <c r="MBH16" s="251"/>
      <c r="MBI16" s="251"/>
      <c r="MBJ16" s="251"/>
      <c r="MBK16" s="251"/>
      <c r="MBL16" s="251"/>
      <c r="MBM16" s="251"/>
      <c r="MBN16" s="251"/>
      <c r="MBO16" s="251"/>
      <c r="MBP16" s="251"/>
      <c r="MBQ16" s="251"/>
      <c r="MBR16" s="251"/>
      <c r="MBS16" s="251"/>
      <c r="MBT16" s="251"/>
      <c r="MBU16" s="251"/>
      <c r="MBV16" s="251"/>
      <c r="MBW16" s="251"/>
      <c r="MBX16" s="251"/>
      <c r="MBY16" s="251"/>
      <c r="MBZ16" s="251"/>
      <c r="MCA16" s="251"/>
      <c r="MCB16" s="251"/>
      <c r="MCC16" s="251"/>
      <c r="MCD16" s="251"/>
      <c r="MCE16" s="251"/>
      <c r="MCF16" s="251"/>
      <c r="MCG16" s="251"/>
      <c r="MCH16" s="251"/>
      <c r="MCI16" s="251"/>
      <c r="MCJ16" s="251"/>
      <c r="MCK16" s="251"/>
      <c r="MCL16" s="251"/>
      <c r="MCM16" s="251"/>
      <c r="MCN16" s="251"/>
      <c r="MCO16" s="251"/>
      <c r="MCP16" s="251"/>
      <c r="MCQ16" s="251"/>
      <c r="MCR16" s="251"/>
      <c r="MCS16" s="251"/>
      <c r="MCT16" s="251"/>
      <c r="MCU16" s="251"/>
      <c r="MCV16" s="251"/>
      <c r="MCW16" s="251"/>
      <c r="MCX16" s="251"/>
      <c r="MCY16" s="251"/>
      <c r="MCZ16" s="251"/>
      <c r="MDA16" s="251"/>
      <c r="MDB16" s="251"/>
      <c r="MDC16" s="251"/>
      <c r="MDD16" s="251"/>
      <c r="MDE16" s="251"/>
      <c r="MDF16" s="251"/>
      <c r="MDG16" s="251"/>
      <c r="MDH16" s="251"/>
      <c r="MDI16" s="251"/>
      <c r="MDJ16" s="251"/>
      <c r="MDK16" s="251"/>
      <c r="MDL16" s="251"/>
      <c r="MDM16" s="251"/>
      <c r="MDN16" s="251"/>
      <c r="MDO16" s="251"/>
      <c r="MDP16" s="251"/>
      <c r="MDQ16" s="251"/>
      <c r="MDR16" s="251"/>
      <c r="MDS16" s="251"/>
      <c r="MDT16" s="251"/>
      <c r="MDU16" s="251"/>
      <c r="MDV16" s="251"/>
      <c r="MDW16" s="251"/>
      <c r="MDX16" s="251"/>
      <c r="MDY16" s="251"/>
      <c r="MDZ16" s="251"/>
      <c r="MEA16" s="251"/>
      <c r="MEB16" s="251"/>
      <c r="MEC16" s="251"/>
      <c r="MED16" s="251"/>
      <c r="MEE16" s="251"/>
      <c r="MEF16" s="251"/>
      <c r="MEG16" s="251"/>
      <c r="MEH16" s="251"/>
      <c r="MEI16" s="251"/>
      <c r="MEJ16" s="251"/>
      <c r="MEK16" s="251"/>
      <c r="MEL16" s="251"/>
      <c r="MEM16" s="251"/>
      <c r="MEN16" s="251"/>
      <c r="MEO16" s="251"/>
      <c r="MEP16" s="251"/>
      <c r="MEQ16" s="251"/>
      <c r="MER16" s="251"/>
      <c r="MES16" s="251"/>
      <c r="MET16" s="251"/>
      <c r="MEU16" s="251"/>
      <c r="MEV16" s="251"/>
      <c r="MEW16" s="251"/>
      <c r="MEX16" s="251"/>
      <c r="MEY16" s="251"/>
      <c r="MEZ16" s="251"/>
      <c r="MFA16" s="251"/>
      <c r="MFB16" s="251"/>
      <c r="MFC16" s="251"/>
      <c r="MFD16" s="251"/>
      <c r="MFE16" s="251"/>
      <c r="MFF16" s="251"/>
      <c r="MFG16" s="251"/>
      <c r="MFH16" s="251"/>
      <c r="MFI16" s="251"/>
      <c r="MFJ16" s="251"/>
      <c r="MFK16" s="251"/>
      <c r="MFL16" s="251"/>
      <c r="MFM16" s="251"/>
      <c r="MFN16" s="251"/>
      <c r="MFO16" s="251"/>
      <c r="MFP16" s="251"/>
      <c r="MFQ16" s="251"/>
      <c r="MFR16" s="251"/>
      <c r="MFS16" s="251"/>
      <c r="MFT16" s="251"/>
      <c r="MFU16" s="251"/>
      <c r="MFV16" s="251"/>
      <c r="MFW16" s="251"/>
      <c r="MFX16" s="251"/>
      <c r="MFY16" s="251"/>
      <c r="MFZ16" s="251"/>
      <c r="MGA16" s="251"/>
      <c r="MGB16" s="251"/>
      <c r="MGC16" s="251"/>
      <c r="MGD16" s="251"/>
      <c r="MGE16" s="251"/>
      <c r="MGF16" s="251"/>
      <c r="MGG16" s="251"/>
      <c r="MGH16" s="251"/>
      <c r="MGI16" s="251"/>
      <c r="MGJ16" s="251"/>
      <c r="MGK16" s="251"/>
      <c r="MGL16" s="251"/>
      <c r="MGM16" s="251"/>
      <c r="MGN16" s="251"/>
      <c r="MGO16" s="251"/>
      <c r="MGP16" s="251"/>
      <c r="MGQ16" s="251"/>
      <c r="MGR16" s="251"/>
      <c r="MGS16" s="251"/>
      <c r="MGT16" s="251"/>
      <c r="MGU16" s="251"/>
      <c r="MGV16" s="251"/>
      <c r="MGW16" s="251"/>
      <c r="MGX16" s="251"/>
      <c r="MGY16" s="251"/>
      <c r="MGZ16" s="251"/>
      <c r="MHA16" s="251"/>
      <c r="MHB16" s="251"/>
      <c r="MHC16" s="251"/>
      <c r="MHD16" s="251"/>
      <c r="MHE16" s="251"/>
      <c r="MHF16" s="251"/>
      <c r="MHG16" s="251"/>
      <c r="MHH16" s="251"/>
      <c r="MHI16" s="251"/>
      <c r="MHJ16" s="251"/>
      <c r="MHK16" s="251"/>
      <c r="MHL16" s="251"/>
      <c r="MHM16" s="251"/>
      <c r="MHN16" s="251"/>
      <c r="MHO16" s="251"/>
      <c r="MHP16" s="251"/>
      <c r="MHQ16" s="251"/>
      <c r="MHR16" s="251"/>
      <c r="MHS16" s="251"/>
      <c r="MHT16" s="251"/>
      <c r="MHU16" s="251"/>
      <c r="MHV16" s="251"/>
      <c r="MHW16" s="251"/>
      <c r="MHX16" s="251"/>
      <c r="MHY16" s="251"/>
      <c r="MHZ16" s="251"/>
      <c r="MIA16" s="251"/>
      <c r="MIB16" s="251"/>
      <c r="MIC16" s="251"/>
      <c r="MID16" s="251"/>
      <c r="MIE16" s="251"/>
      <c r="MIF16" s="251"/>
      <c r="MIG16" s="251"/>
      <c r="MIH16" s="251"/>
      <c r="MII16" s="251"/>
      <c r="MIJ16" s="251"/>
      <c r="MIK16" s="251"/>
      <c r="MIL16" s="251"/>
      <c r="MIM16" s="251"/>
      <c r="MIN16" s="251"/>
      <c r="MIO16" s="251"/>
      <c r="MIP16" s="251"/>
      <c r="MIQ16" s="251"/>
      <c r="MIR16" s="251"/>
      <c r="MIS16" s="251"/>
      <c r="MIT16" s="251"/>
      <c r="MIU16" s="251"/>
      <c r="MIV16" s="251"/>
      <c r="MIW16" s="251"/>
      <c r="MIX16" s="251"/>
      <c r="MIY16" s="251"/>
      <c r="MIZ16" s="251"/>
      <c r="MJA16" s="251"/>
      <c r="MJB16" s="251"/>
      <c r="MJC16" s="251"/>
      <c r="MJD16" s="251"/>
      <c r="MJE16" s="251"/>
      <c r="MJF16" s="251"/>
      <c r="MJG16" s="251"/>
      <c r="MJH16" s="251"/>
      <c r="MJI16" s="251"/>
      <c r="MJJ16" s="251"/>
      <c r="MJK16" s="251"/>
      <c r="MJL16" s="251"/>
      <c r="MJM16" s="251"/>
      <c r="MJN16" s="251"/>
      <c r="MJO16" s="251"/>
      <c r="MJP16" s="251"/>
      <c r="MJQ16" s="251"/>
      <c r="MJR16" s="251"/>
      <c r="MJS16" s="251"/>
      <c r="MJT16" s="251"/>
      <c r="MJU16" s="251"/>
      <c r="MJV16" s="251"/>
      <c r="MJW16" s="251"/>
      <c r="MJX16" s="251"/>
      <c r="MJY16" s="251"/>
      <c r="MJZ16" s="251"/>
      <c r="MKA16" s="251"/>
      <c r="MKB16" s="251"/>
      <c r="MKC16" s="251"/>
      <c r="MKD16" s="251"/>
      <c r="MKE16" s="251"/>
      <c r="MKF16" s="251"/>
      <c r="MKG16" s="251"/>
      <c r="MKH16" s="251"/>
      <c r="MKI16" s="251"/>
      <c r="MKJ16" s="251"/>
      <c r="MKK16" s="251"/>
      <c r="MKL16" s="251"/>
      <c r="MKM16" s="251"/>
      <c r="MKN16" s="251"/>
      <c r="MKO16" s="251"/>
      <c r="MKP16" s="251"/>
      <c r="MKQ16" s="251"/>
      <c r="MKR16" s="251"/>
      <c r="MKS16" s="251"/>
      <c r="MKT16" s="251"/>
      <c r="MKU16" s="251"/>
      <c r="MKV16" s="251"/>
      <c r="MKW16" s="251"/>
      <c r="MKX16" s="251"/>
      <c r="MKY16" s="251"/>
      <c r="MKZ16" s="251"/>
      <c r="MLA16" s="251"/>
      <c r="MLB16" s="251"/>
      <c r="MLC16" s="251"/>
      <c r="MLD16" s="251"/>
      <c r="MLE16" s="251"/>
      <c r="MLF16" s="251"/>
      <c r="MLG16" s="251"/>
      <c r="MLH16" s="251"/>
      <c r="MLI16" s="251"/>
      <c r="MLJ16" s="251"/>
      <c r="MLK16" s="251"/>
      <c r="MLL16" s="251"/>
      <c r="MLM16" s="251"/>
      <c r="MLN16" s="251"/>
      <c r="MLO16" s="251"/>
      <c r="MLP16" s="251"/>
      <c r="MLQ16" s="251"/>
      <c r="MLR16" s="251"/>
      <c r="MLS16" s="251"/>
      <c r="MLT16" s="251"/>
      <c r="MLU16" s="251"/>
      <c r="MLV16" s="251"/>
      <c r="MLW16" s="251"/>
      <c r="MLX16" s="251"/>
      <c r="MLY16" s="251"/>
      <c r="MLZ16" s="251"/>
      <c r="MMA16" s="251"/>
      <c r="MMB16" s="251"/>
      <c r="MMC16" s="251"/>
      <c r="MMD16" s="251"/>
      <c r="MME16" s="251"/>
      <c r="MMF16" s="251"/>
      <c r="MMG16" s="251"/>
      <c r="MMH16" s="251"/>
      <c r="MMI16" s="251"/>
      <c r="MMJ16" s="251"/>
      <c r="MMK16" s="251"/>
      <c r="MML16" s="251"/>
      <c r="MMM16" s="251"/>
      <c r="MMN16" s="251"/>
      <c r="MMO16" s="251"/>
      <c r="MMP16" s="251"/>
      <c r="MMQ16" s="251"/>
      <c r="MMR16" s="251"/>
      <c r="MMS16" s="251"/>
      <c r="MMT16" s="251"/>
      <c r="MMU16" s="251"/>
      <c r="MMV16" s="251"/>
      <c r="MMW16" s="251"/>
      <c r="MMX16" s="251"/>
      <c r="MMY16" s="251"/>
      <c r="MMZ16" s="251"/>
      <c r="MNA16" s="251"/>
      <c r="MNB16" s="251"/>
      <c r="MNC16" s="251"/>
      <c r="MND16" s="251"/>
      <c r="MNE16" s="251"/>
      <c r="MNF16" s="251"/>
      <c r="MNG16" s="251"/>
      <c r="MNH16" s="251"/>
      <c r="MNI16" s="251"/>
      <c r="MNJ16" s="251"/>
      <c r="MNK16" s="251"/>
      <c r="MNL16" s="251"/>
      <c r="MNM16" s="251"/>
      <c r="MNN16" s="251"/>
      <c r="MNO16" s="251"/>
      <c r="MNP16" s="251"/>
      <c r="MNQ16" s="251"/>
      <c r="MNR16" s="251"/>
      <c r="MNS16" s="251"/>
      <c r="MNT16" s="251"/>
      <c r="MNU16" s="251"/>
      <c r="MNV16" s="251"/>
      <c r="MNW16" s="251"/>
      <c r="MNX16" s="251"/>
      <c r="MNY16" s="251"/>
      <c r="MNZ16" s="251"/>
      <c r="MOA16" s="251"/>
      <c r="MOB16" s="251"/>
      <c r="MOC16" s="251"/>
      <c r="MOD16" s="251"/>
      <c r="MOE16" s="251"/>
      <c r="MOF16" s="251"/>
      <c r="MOG16" s="251"/>
      <c r="MOH16" s="251"/>
      <c r="MOI16" s="251"/>
      <c r="MOJ16" s="251"/>
      <c r="MOK16" s="251"/>
      <c r="MOL16" s="251"/>
      <c r="MOM16" s="251"/>
      <c r="MON16" s="251"/>
      <c r="MOO16" s="251"/>
      <c r="MOP16" s="251"/>
      <c r="MOQ16" s="251"/>
      <c r="MOR16" s="251"/>
      <c r="MOS16" s="251"/>
      <c r="MOT16" s="251"/>
      <c r="MOU16" s="251"/>
      <c r="MOV16" s="251"/>
      <c r="MOW16" s="251"/>
      <c r="MOX16" s="251"/>
      <c r="MOY16" s="251"/>
      <c r="MOZ16" s="251"/>
      <c r="MPA16" s="251"/>
      <c r="MPB16" s="251"/>
      <c r="MPC16" s="251"/>
      <c r="MPD16" s="251"/>
      <c r="MPE16" s="251"/>
      <c r="MPF16" s="251"/>
      <c r="MPG16" s="251"/>
      <c r="MPH16" s="251"/>
      <c r="MPI16" s="251"/>
      <c r="MPJ16" s="251"/>
      <c r="MPK16" s="251"/>
      <c r="MPL16" s="251"/>
      <c r="MPM16" s="251"/>
      <c r="MPN16" s="251"/>
      <c r="MPO16" s="251"/>
      <c r="MPP16" s="251"/>
      <c r="MPQ16" s="251"/>
      <c r="MPR16" s="251"/>
      <c r="MPS16" s="251"/>
      <c r="MPT16" s="251"/>
      <c r="MPU16" s="251"/>
      <c r="MPV16" s="251"/>
      <c r="MPW16" s="251"/>
      <c r="MPX16" s="251"/>
      <c r="MPY16" s="251"/>
      <c r="MPZ16" s="251"/>
      <c r="MQA16" s="251"/>
      <c r="MQB16" s="251"/>
      <c r="MQC16" s="251"/>
      <c r="MQD16" s="251"/>
      <c r="MQE16" s="251"/>
      <c r="MQF16" s="251"/>
      <c r="MQG16" s="251"/>
      <c r="MQH16" s="251"/>
      <c r="MQI16" s="251"/>
      <c r="MQJ16" s="251"/>
      <c r="MQK16" s="251"/>
      <c r="MQL16" s="251"/>
      <c r="MQM16" s="251"/>
      <c r="MQN16" s="251"/>
      <c r="MQO16" s="251"/>
      <c r="MQP16" s="251"/>
      <c r="MQQ16" s="251"/>
      <c r="MQR16" s="251"/>
      <c r="MQS16" s="251"/>
      <c r="MQT16" s="251"/>
      <c r="MQU16" s="251"/>
      <c r="MQV16" s="251"/>
      <c r="MQW16" s="251"/>
      <c r="MQX16" s="251"/>
      <c r="MQY16" s="251"/>
      <c r="MQZ16" s="251"/>
      <c r="MRA16" s="251"/>
      <c r="MRB16" s="251"/>
      <c r="MRC16" s="251"/>
      <c r="MRD16" s="251"/>
      <c r="MRE16" s="251"/>
      <c r="MRF16" s="251"/>
      <c r="MRG16" s="251"/>
      <c r="MRH16" s="251"/>
      <c r="MRI16" s="251"/>
      <c r="MRJ16" s="251"/>
      <c r="MRK16" s="251"/>
      <c r="MRL16" s="251"/>
      <c r="MRM16" s="251"/>
      <c r="MRN16" s="251"/>
      <c r="MRO16" s="251"/>
      <c r="MRP16" s="251"/>
      <c r="MRQ16" s="251"/>
      <c r="MRR16" s="251"/>
      <c r="MRS16" s="251"/>
      <c r="MRT16" s="251"/>
      <c r="MRU16" s="251"/>
      <c r="MRV16" s="251"/>
      <c r="MRW16" s="251"/>
      <c r="MRX16" s="251"/>
      <c r="MRY16" s="251"/>
      <c r="MRZ16" s="251"/>
      <c r="MSA16" s="251"/>
      <c r="MSB16" s="251"/>
      <c r="MSC16" s="251"/>
      <c r="MSD16" s="251"/>
      <c r="MSE16" s="251"/>
      <c r="MSF16" s="251"/>
      <c r="MSG16" s="251"/>
      <c r="MSH16" s="251"/>
      <c r="MSI16" s="251"/>
      <c r="MSJ16" s="251"/>
      <c r="MSK16" s="251"/>
      <c r="MSL16" s="251"/>
      <c r="MSM16" s="251"/>
      <c r="MSN16" s="251"/>
      <c r="MSO16" s="251"/>
      <c r="MSP16" s="251"/>
      <c r="MSQ16" s="251"/>
      <c r="MSR16" s="251"/>
      <c r="MSS16" s="251"/>
      <c r="MST16" s="251"/>
      <c r="MSU16" s="251"/>
      <c r="MSV16" s="251"/>
      <c r="MSW16" s="251"/>
      <c r="MSX16" s="251"/>
      <c r="MSY16" s="251"/>
      <c r="MSZ16" s="251"/>
      <c r="MTA16" s="251"/>
      <c r="MTB16" s="251"/>
      <c r="MTC16" s="251"/>
      <c r="MTD16" s="251"/>
      <c r="MTE16" s="251"/>
      <c r="MTF16" s="251"/>
      <c r="MTG16" s="251"/>
      <c r="MTH16" s="251"/>
      <c r="MTI16" s="251"/>
      <c r="MTJ16" s="251"/>
      <c r="MTK16" s="251"/>
      <c r="MTL16" s="251"/>
      <c r="MTM16" s="251"/>
      <c r="MTN16" s="251"/>
      <c r="MTO16" s="251"/>
      <c r="MTP16" s="251"/>
      <c r="MTQ16" s="251"/>
      <c r="MTR16" s="251"/>
      <c r="MTS16" s="251"/>
      <c r="MTT16" s="251"/>
      <c r="MTU16" s="251"/>
      <c r="MTV16" s="251"/>
      <c r="MTW16" s="251"/>
      <c r="MTX16" s="251"/>
      <c r="MTY16" s="251"/>
      <c r="MTZ16" s="251"/>
      <c r="MUA16" s="251"/>
      <c r="MUB16" s="251"/>
      <c r="MUC16" s="251"/>
      <c r="MUD16" s="251"/>
      <c r="MUE16" s="251"/>
      <c r="MUF16" s="251"/>
      <c r="MUG16" s="251"/>
      <c r="MUH16" s="251"/>
      <c r="MUI16" s="251"/>
      <c r="MUJ16" s="251"/>
      <c r="MUK16" s="251"/>
      <c r="MUL16" s="251"/>
      <c r="MUM16" s="251"/>
      <c r="MUN16" s="251"/>
      <c r="MUO16" s="251"/>
      <c r="MUP16" s="251"/>
      <c r="MUQ16" s="251"/>
      <c r="MUR16" s="251"/>
      <c r="MUS16" s="251"/>
      <c r="MUT16" s="251"/>
      <c r="MUU16" s="251"/>
      <c r="MUV16" s="251"/>
      <c r="MUW16" s="251"/>
      <c r="MUX16" s="251"/>
      <c r="MUY16" s="251"/>
      <c r="MUZ16" s="251"/>
      <c r="MVA16" s="251"/>
      <c r="MVB16" s="251"/>
      <c r="MVC16" s="251"/>
      <c r="MVD16" s="251"/>
      <c r="MVE16" s="251"/>
      <c r="MVF16" s="251"/>
      <c r="MVG16" s="251"/>
      <c r="MVH16" s="251"/>
      <c r="MVI16" s="251"/>
      <c r="MVJ16" s="251"/>
      <c r="MVK16" s="251"/>
      <c r="MVL16" s="251"/>
      <c r="MVM16" s="251"/>
      <c r="MVN16" s="251"/>
      <c r="MVO16" s="251"/>
      <c r="MVP16" s="251"/>
      <c r="MVQ16" s="251"/>
      <c r="MVR16" s="251"/>
      <c r="MVS16" s="251"/>
      <c r="MVT16" s="251"/>
      <c r="MVU16" s="251"/>
      <c r="MVV16" s="251"/>
      <c r="MVW16" s="251"/>
      <c r="MVX16" s="251"/>
      <c r="MVY16" s="251"/>
      <c r="MVZ16" s="251"/>
      <c r="MWA16" s="251"/>
      <c r="MWB16" s="251"/>
      <c r="MWC16" s="251"/>
      <c r="MWD16" s="251"/>
      <c r="MWE16" s="251"/>
      <c r="MWF16" s="251"/>
      <c r="MWG16" s="251"/>
      <c r="MWH16" s="251"/>
      <c r="MWI16" s="251"/>
      <c r="MWJ16" s="251"/>
      <c r="MWK16" s="251"/>
      <c r="MWL16" s="251"/>
      <c r="MWM16" s="251"/>
      <c r="MWN16" s="251"/>
      <c r="MWO16" s="251"/>
      <c r="MWP16" s="251"/>
      <c r="MWQ16" s="251"/>
      <c r="MWR16" s="251"/>
      <c r="MWS16" s="251"/>
      <c r="MWT16" s="251"/>
      <c r="MWU16" s="251"/>
      <c r="MWV16" s="251"/>
      <c r="MWW16" s="251"/>
      <c r="MWX16" s="251"/>
      <c r="MWY16" s="251"/>
      <c r="MWZ16" s="251"/>
      <c r="MXA16" s="251"/>
      <c r="MXB16" s="251"/>
      <c r="MXC16" s="251"/>
      <c r="MXD16" s="251"/>
      <c r="MXE16" s="251"/>
      <c r="MXF16" s="251"/>
      <c r="MXG16" s="251"/>
      <c r="MXH16" s="251"/>
      <c r="MXI16" s="251"/>
      <c r="MXJ16" s="251"/>
      <c r="MXK16" s="251"/>
      <c r="MXL16" s="251"/>
      <c r="MXM16" s="251"/>
      <c r="MXN16" s="251"/>
      <c r="MXO16" s="251"/>
      <c r="MXP16" s="251"/>
      <c r="MXQ16" s="251"/>
      <c r="MXR16" s="251"/>
      <c r="MXS16" s="251"/>
      <c r="MXT16" s="251"/>
      <c r="MXU16" s="251"/>
      <c r="MXV16" s="251"/>
      <c r="MXW16" s="251"/>
      <c r="MXX16" s="251"/>
      <c r="MXY16" s="251"/>
      <c r="MXZ16" s="251"/>
      <c r="MYA16" s="251"/>
      <c r="MYB16" s="251"/>
      <c r="MYC16" s="251"/>
      <c r="MYD16" s="251"/>
      <c r="MYE16" s="251"/>
      <c r="MYF16" s="251"/>
      <c r="MYG16" s="251"/>
      <c r="MYH16" s="251"/>
      <c r="MYI16" s="251"/>
      <c r="MYJ16" s="251"/>
      <c r="MYK16" s="251"/>
      <c r="MYL16" s="251"/>
      <c r="MYM16" s="251"/>
      <c r="MYN16" s="251"/>
      <c r="MYO16" s="251"/>
      <c r="MYP16" s="251"/>
      <c r="MYQ16" s="251"/>
      <c r="MYR16" s="251"/>
      <c r="MYS16" s="251"/>
      <c r="MYT16" s="251"/>
      <c r="MYU16" s="251"/>
      <c r="MYV16" s="251"/>
      <c r="MYW16" s="251"/>
      <c r="MYX16" s="251"/>
      <c r="MYY16" s="251"/>
      <c r="MYZ16" s="251"/>
      <c r="MZA16" s="251"/>
      <c r="MZB16" s="251"/>
      <c r="MZC16" s="251"/>
      <c r="MZD16" s="251"/>
      <c r="MZE16" s="251"/>
      <c r="MZF16" s="251"/>
      <c r="MZG16" s="251"/>
      <c r="MZH16" s="251"/>
      <c r="MZI16" s="251"/>
      <c r="MZJ16" s="251"/>
      <c r="MZK16" s="251"/>
      <c r="MZL16" s="251"/>
      <c r="MZM16" s="251"/>
      <c r="MZN16" s="251"/>
      <c r="MZO16" s="251"/>
      <c r="MZP16" s="251"/>
      <c r="MZQ16" s="251"/>
      <c r="MZR16" s="251"/>
      <c r="MZS16" s="251"/>
      <c r="MZT16" s="251"/>
      <c r="MZU16" s="251"/>
      <c r="MZV16" s="251"/>
      <c r="MZW16" s="251"/>
      <c r="MZX16" s="251"/>
      <c r="MZY16" s="251"/>
      <c r="MZZ16" s="251"/>
      <c r="NAA16" s="251"/>
      <c r="NAB16" s="251"/>
      <c r="NAC16" s="251"/>
      <c r="NAD16" s="251"/>
      <c r="NAE16" s="251"/>
      <c r="NAF16" s="251"/>
      <c r="NAG16" s="251"/>
      <c r="NAH16" s="251"/>
      <c r="NAI16" s="251"/>
      <c r="NAJ16" s="251"/>
      <c r="NAK16" s="251"/>
      <c r="NAL16" s="251"/>
      <c r="NAM16" s="251"/>
      <c r="NAN16" s="251"/>
      <c r="NAO16" s="251"/>
      <c r="NAP16" s="251"/>
      <c r="NAQ16" s="251"/>
      <c r="NAR16" s="251"/>
      <c r="NAS16" s="251"/>
      <c r="NAT16" s="251"/>
      <c r="NAU16" s="251"/>
      <c r="NAV16" s="251"/>
      <c r="NAW16" s="251"/>
      <c r="NAX16" s="251"/>
      <c r="NAY16" s="251"/>
      <c r="NAZ16" s="251"/>
      <c r="NBA16" s="251"/>
      <c r="NBB16" s="251"/>
      <c r="NBC16" s="251"/>
      <c r="NBD16" s="251"/>
      <c r="NBE16" s="251"/>
      <c r="NBF16" s="251"/>
      <c r="NBG16" s="251"/>
      <c r="NBH16" s="251"/>
      <c r="NBI16" s="251"/>
      <c r="NBJ16" s="251"/>
      <c r="NBK16" s="251"/>
      <c r="NBL16" s="251"/>
      <c r="NBM16" s="251"/>
      <c r="NBN16" s="251"/>
      <c r="NBO16" s="251"/>
      <c r="NBP16" s="251"/>
      <c r="NBQ16" s="251"/>
      <c r="NBR16" s="251"/>
      <c r="NBS16" s="251"/>
      <c r="NBT16" s="251"/>
      <c r="NBU16" s="251"/>
      <c r="NBV16" s="251"/>
      <c r="NBW16" s="251"/>
      <c r="NBX16" s="251"/>
      <c r="NBY16" s="251"/>
      <c r="NBZ16" s="251"/>
      <c r="NCA16" s="251"/>
      <c r="NCB16" s="251"/>
      <c r="NCC16" s="251"/>
      <c r="NCD16" s="251"/>
      <c r="NCE16" s="251"/>
      <c r="NCF16" s="251"/>
      <c r="NCG16" s="251"/>
      <c r="NCH16" s="251"/>
      <c r="NCI16" s="251"/>
      <c r="NCJ16" s="251"/>
      <c r="NCK16" s="251"/>
      <c r="NCL16" s="251"/>
      <c r="NCM16" s="251"/>
      <c r="NCN16" s="251"/>
      <c r="NCO16" s="251"/>
      <c r="NCP16" s="251"/>
      <c r="NCQ16" s="251"/>
      <c r="NCR16" s="251"/>
      <c r="NCS16" s="251"/>
      <c r="NCT16" s="251"/>
      <c r="NCU16" s="251"/>
      <c r="NCV16" s="251"/>
      <c r="NCW16" s="251"/>
      <c r="NCX16" s="251"/>
      <c r="NCY16" s="251"/>
      <c r="NCZ16" s="251"/>
      <c r="NDA16" s="251"/>
      <c r="NDB16" s="251"/>
      <c r="NDC16" s="251"/>
      <c r="NDD16" s="251"/>
      <c r="NDE16" s="251"/>
      <c r="NDF16" s="251"/>
      <c r="NDG16" s="251"/>
      <c r="NDH16" s="251"/>
      <c r="NDI16" s="251"/>
      <c r="NDJ16" s="251"/>
      <c r="NDK16" s="251"/>
      <c r="NDL16" s="251"/>
      <c r="NDM16" s="251"/>
      <c r="NDN16" s="251"/>
      <c r="NDO16" s="251"/>
      <c r="NDP16" s="251"/>
      <c r="NDQ16" s="251"/>
      <c r="NDR16" s="251"/>
      <c r="NDS16" s="251"/>
      <c r="NDT16" s="251"/>
      <c r="NDU16" s="251"/>
      <c r="NDV16" s="251"/>
      <c r="NDW16" s="251"/>
      <c r="NDX16" s="251"/>
      <c r="NDY16" s="251"/>
      <c r="NDZ16" s="251"/>
      <c r="NEA16" s="251"/>
      <c r="NEB16" s="251"/>
      <c r="NEC16" s="251"/>
      <c r="NED16" s="251"/>
      <c r="NEE16" s="251"/>
      <c r="NEF16" s="251"/>
      <c r="NEG16" s="251"/>
      <c r="NEH16" s="251"/>
      <c r="NEI16" s="251"/>
      <c r="NEJ16" s="251"/>
      <c r="NEK16" s="251"/>
      <c r="NEL16" s="251"/>
      <c r="NEM16" s="251"/>
      <c r="NEN16" s="251"/>
      <c r="NEO16" s="251"/>
      <c r="NEP16" s="251"/>
      <c r="NEQ16" s="251"/>
      <c r="NER16" s="251"/>
      <c r="NES16" s="251"/>
      <c r="NET16" s="251"/>
      <c r="NEU16" s="251"/>
      <c r="NEV16" s="251"/>
      <c r="NEW16" s="251"/>
      <c r="NEX16" s="251"/>
      <c r="NEY16" s="251"/>
      <c r="NEZ16" s="251"/>
      <c r="NFA16" s="251"/>
      <c r="NFB16" s="251"/>
      <c r="NFC16" s="251"/>
      <c r="NFD16" s="251"/>
      <c r="NFE16" s="251"/>
      <c r="NFF16" s="251"/>
      <c r="NFG16" s="251"/>
      <c r="NFH16" s="251"/>
      <c r="NFI16" s="251"/>
      <c r="NFJ16" s="251"/>
      <c r="NFK16" s="251"/>
      <c r="NFL16" s="251"/>
      <c r="NFM16" s="251"/>
      <c r="NFN16" s="251"/>
      <c r="NFO16" s="251"/>
      <c r="NFP16" s="251"/>
      <c r="NFQ16" s="251"/>
      <c r="NFR16" s="251"/>
      <c r="NFS16" s="251"/>
      <c r="NFT16" s="251"/>
      <c r="NFU16" s="251"/>
      <c r="NFV16" s="251"/>
      <c r="NFW16" s="251"/>
      <c r="NFX16" s="251"/>
      <c r="NFY16" s="251"/>
      <c r="NFZ16" s="251"/>
      <c r="NGA16" s="251"/>
      <c r="NGB16" s="251"/>
      <c r="NGC16" s="251"/>
      <c r="NGD16" s="251"/>
      <c r="NGE16" s="251"/>
      <c r="NGF16" s="251"/>
      <c r="NGG16" s="251"/>
      <c r="NGH16" s="251"/>
      <c r="NGI16" s="251"/>
      <c r="NGJ16" s="251"/>
      <c r="NGK16" s="251"/>
      <c r="NGL16" s="251"/>
      <c r="NGM16" s="251"/>
      <c r="NGN16" s="251"/>
      <c r="NGO16" s="251"/>
      <c r="NGP16" s="251"/>
      <c r="NGQ16" s="251"/>
      <c r="NGR16" s="251"/>
      <c r="NGS16" s="251"/>
      <c r="NGT16" s="251"/>
      <c r="NGU16" s="251"/>
      <c r="NGV16" s="251"/>
      <c r="NGW16" s="251"/>
      <c r="NGX16" s="251"/>
      <c r="NGY16" s="251"/>
      <c r="NGZ16" s="251"/>
      <c r="NHA16" s="251"/>
      <c r="NHB16" s="251"/>
      <c r="NHC16" s="251"/>
      <c r="NHD16" s="251"/>
      <c r="NHE16" s="251"/>
      <c r="NHF16" s="251"/>
      <c r="NHG16" s="251"/>
      <c r="NHH16" s="251"/>
      <c r="NHI16" s="251"/>
      <c r="NHJ16" s="251"/>
      <c r="NHK16" s="251"/>
      <c r="NHL16" s="251"/>
      <c r="NHM16" s="251"/>
      <c r="NHN16" s="251"/>
      <c r="NHO16" s="251"/>
      <c r="NHP16" s="251"/>
      <c r="NHQ16" s="251"/>
      <c r="NHR16" s="251"/>
      <c r="NHS16" s="251"/>
      <c r="NHT16" s="251"/>
      <c r="NHU16" s="251"/>
      <c r="NHV16" s="251"/>
      <c r="NHW16" s="251"/>
      <c r="NHX16" s="251"/>
      <c r="NHY16" s="251"/>
      <c r="NHZ16" s="251"/>
      <c r="NIA16" s="251"/>
      <c r="NIB16" s="251"/>
      <c r="NIC16" s="251"/>
      <c r="NID16" s="251"/>
      <c r="NIE16" s="251"/>
      <c r="NIF16" s="251"/>
      <c r="NIG16" s="251"/>
      <c r="NIH16" s="251"/>
      <c r="NII16" s="251"/>
      <c r="NIJ16" s="251"/>
      <c r="NIK16" s="251"/>
      <c r="NIL16" s="251"/>
      <c r="NIM16" s="251"/>
      <c r="NIN16" s="251"/>
      <c r="NIO16" s="251"/>
      <c r="NIP16" s="251"/>
      <c r="NIQ16" s="251"/>
      <c r="NIR16" s="251"/>
      <c r="NIS16" s="251"/>
      <c r="NIT16" s="251"/>
      <c r="NIU16" s="251"/>
      <c r="NIV16" s="251"/>
      <c r="NIW16" s="251"/>
      <c r="NIX16" s="251"/>
      <c r="NIY16" s="251"/>
      <c r="NIZ16" s="251"/>
      <c r="NJA16" s="251"/>
      <c r="NJB16" s="251"/>
      <c r="NJC16" s="251"/>
      <c r="NJD16" s="251"/>
      <c r="NJE16" s="251"/>
      <c r="NJF16" s="251"/>
      <c r="NJG16" s="251"/>
      <c r="NJH16" s="251"/>
      <c r="NJI16" s="251"/>
      <c r="NJJ16" s="251"/>
      <c r="NJK16" s="251"/>
      <c r="NJL16" s="251"/>
      <c r="NJM16" s="251"/>
      <c r="NJN16" s="251"/>
      <c r="NJO16" s="251"/>
      <c r="NJP16" s="251"/>
      <c r="NJQ16" s="251"/>
      <c r="NJR16" s="251"/>
      <c r="NJS16" s="251"/>
      <c r="NJT16" s="251"/>
      <c r="NJU16" s="251"/>
      <c r="NJV16" s="251"/>
      <c r="NJW16" s="251"/>
      <c r="NJX16" s="251"/>
      <c r="NJY16" s="251"/>
      <c r="NJZ16" s="251"/>
      <c r="NKA16" s="251"/>
      <c r="NKB16" s="251"/>
      <c r="NKC16" s="251"/>
      <c r="NKD16" s="251"/>
      <c r="NKE16" s="251"/>
      <c r="NKF16" s="251"/>
      <c r="NKG16" s="251"/>
      <c r="NKH16" s="251"/>
      <c r="NKI16" s="251"/>
      <c r="NKJ16" s="251"/>
      <c r="NKK16" s="251"/>
      <c r="NKL16" s="251"/>
      <c r="NKM16" s="251"/>
      <c r="NKN16" s="251"/>
      <c r="NKO16" s="251"/>
      <c r="NKP16" s="251"/>
      <c r="NKQ16" s="251"/>
      <c r="NKR16" s="251"/>
      <c r="NKS16" s="251"/>
      <c r="NKT16" s="251"/>
      <c r="NKU16" s="251"/>
      <c r="NKV16" s="251"/>
      <c r="NKW16" s="251"/>
      <c r="NKX16" s="251"/>
      <c r="NKY16" s="251"/>
      <c r="NKZ16" s="251"/>
      <c r="NLA16" s="251"/>
      <c r="NLB16" s="251"/>
      <c r="NLC16" s="251"/>
      <c r="NLD16" s="251"/>
      <c r="NLE16" s="251"/>
      <c r="NLF16" s="251"/>
      <c r="NLG16" s="251"/>
      <c r="NLH16" s="251"/>
      <c r="NLI16" s="251"/>
      <c r="NLJ16" s="251"/>
      <c r="NLK16" s="251"/>
      <c r="NLL16" s="251"/>
      <c r="NLM16" s="251"/>
      <c r="NLN16" s="251"/>
      <c r="NLO16" s="251"/>
      <c r="NLP16" s="251"/>
      <c r="NLQ16" s="251"/>
      <c r="NLR16" s="251"/>
      <c r="NLS16" s="251"/>
      <c r="NLT16" s="251"/>
      <c r="NLU16" s="251"/>
      <c r="NLV16" s="251"/>
      <c r="NLW16" s="251"/>
      <c r="NLX16" s="251"/>
      <c r="NLY16" s="251"/>
      <c r="NLZ16" s="251"/>
      <c r="NMA16" s="251"/>
      <c r="NMB16" s="251"/>
      <c r="NMC16" s="251"/>
      <c r="NMD16" s="251"/>
      <c r="NME16" s="251"/>
      <c r="NMF16" s="251"/>
      <c r="NMG16" s="251"/>
      <c r="NMH16" s="251"/>
      <c r="NMI16" s="251"/>
      <c r="NMJ16" s="251"/>
      <c r="NMK16" s="251"/>
      <c r="NML16" s="251"/>
      <c r="NMM16" s="251"/>
      <c r="NMN16" s="251"/>
      <c r="NMO16" s="251"/>
      <c r="NMP16" s="251"/>
      <c r="NMQ16" s="251"/>
      <c r="NMR16" s="251"/>
      <c r="NMS16" s="251"/>
      <c r="NMT16" s="251"/>
      <c r="NMU16" s="251"/>
      <c r="NMV16" s="251"/>
      <c r="NMW16" s="251"/>
      <c r="NMX16" s="251"/>
      <c r="NMY16" s="251"/>
      <c r="NMZ16" s="251"/>
      <c r="NNA16" s="251"/>
      <c r="NNB16" s="251"/>
      <c r="NNC16" s="251"/>
      <c r="NND16" s="251"/>
      <c r="NNE16" s="251"/>
      <c r="NNF16" s="251"/>
      <c r="NNG16" s="251"/>
      <c r="NNH16" s="251"/>
      <c r="NNI16" s="251"/>
      <c r="NNJ16" s="251"/>
      <c r="NNK16" s="251"/>
      <c r="NNL16" s="251"/>
      <c r="NNM16" s="251"/>
      <c r="NNN16" s="251"/>
      <c r="NNO16" s="251"/>
      <c r="NNP16" s="251"/>
      <c r="NNQ16" s="251"/>
      <c r="NNR16" s="251"/>
      <c r="NNS16" s="251"/>
      <c r="NNT16" s="251"/>
      <c r="NNU16" s="251"/>
      <c r="NNV16" s="251"/>
      <c r="NNW16" s="251"/>
      <c r="NNX16" s="251"/>
      <c r="NNY16" s="251"/>
      <c r="NNZ16" s="251"/>
      <c r="NOA16" s="251"/>
      <c r="NOB16" s="251"/>
      <c r="NOC16" s="251"/>
      <c r="NOD16" s="251"/>
      <c r="NOE16" s="251"/>
      <c r="NOF16" s="251"/>
      <c r="NOG16" s="251"/>
      <c r="NOH16" s="251"/>
      <c r="NOI16" s="251"/>
      <c r="NOJ16" s="251"/>
      <c r="NOK16" s="251"/>
      <c r="NOL16" s="251"/>
      <c r="NOM16" s="251"/>
      <c r="NON16" s="251"/>
      <c r="NOO16" s="251"/>
      <c r="NOP16" s="251"/>
      <c r="NOQ16" s="251"/>
      <c r="NOR16" s="251"/>
      <c r="NOS16" s="251"/>
      <c r="NOT16" s="251"/>
      <c r="NOU16" s="251"/>
      <c r="NOV16" s="251"/>
      <c r="NOW16" s="251"/>
      <c r="NOX16" s="251"/>
      <c r="NOY16" s="251"/>
      <c r="NOZ16" s="251"/>
      <c r="NPA16" s="251"/>
      <c r="NPB16" s="251"/>
      <c r="NPC16" s="251"/>
      <c r="NPD16" s="251"/>
      <c r="NPE16" s="251"/>
      <c r="NPF16" s="251"/>
      <c r="NPG16" s="251"/>
      <c r="NPH16" s="251"/>
      <c r="NPI16" s="251"/>
      <c r="NPJ16" s="251"/>
      <c r="NPK16" s="251"/>
      <c r="NPL16" s="251"/>
      <c r="NPM16" s="251"/>
      <c r="NPN16" s="251"/>
      <c r="NPO16" s="251"/>
      <c r="NPP16" s="251"/>
      <c r="NPQ16" s="251"/>
      <c r="NPR16" s="251"/>
      <c r="NPS16" s="251"/>
      <c r="NPT16" s="251"/>
      <c r="NPU16" s="251"/>
      <c r="NPV16" s="251"/>
      <c r="NPW16" s="251"/>
      <c r="NPX16" s="251"/>
      <c r="NPY16" s="251"/>
      <c r="NPZ16" s="251"/>
      <c r="NQA16" s="251"/>
      <c r="NQB16" s="251"/>
      <c r="NQC16" s="251"/>
      <c r="NQD16" s="251"/>
      <c r="NQE16" s="251"/>
      <c r="NQF16" s="251"/>
      <c r="NQG16" s="251"/>
      <c r="NQH16" s="251"/>
      <c r="NQI16" s="251"/>
      <c r="NQJ16" s="251"/>
      <c r="NQK16" s="251"/>
      <c r="NQL16" s="251"/>
      <c r="NQM16" s="251"/>
      <c r="NQN16" s="251"/>
      <c r="NQO16" s="251"/>
      <c r="NQP16" s="251"/>
      <c r="NQQ16" s="251"/>
      <c r="NQR16" s="251"/>
      <c r="NQS16" s="251"/>
      <c r="NQT16" s="251"/>
      <c r="NQU16" s="251"/>
      <c r="NQV16" s="251"/>
      <c r="NQW16" s="251"/>
      <c r="NQX16" s="251"/>
      <c r="NQY16" s="251"/>
      <c r="NQZ16" s="251"/>
      <c r="NRA16" s="251"/>
      <c r="NRB16" s="251"/>
      <c r="NRC16" s="251"/>
      <c r="NRD16" s="251"/>
      <c r="NRE16" s="251"/>
      <c r="NRF16" s="251"/>
      <c r="NRG16" s="251"/>
      <c r="NRH16" s="251"/>
      <c r="NRI16" s="251"/>
      <c r="NRJ16" s="251"/>
      <c r="NRK16" s="251"/>
      <c r="NRL16" s="251"/>
      <c r="NRM16" s="251"/>
      <c r="NRN16" s="251"/>
      <c r="NRO16" s="251"/>
      <c r="NRP16" s="251"/>
      <c r="NRQ16" s="251"/>
      <c r="NRR16" s="251"/>
      <c r="NRS16" s="251"/>
      <c r="NRT16" s="251"/>
      <c r="NRU16" s="251"/>
      <c r="NRV16" s="251"/>
      <c r="NRW16" s="251"/>
      <c r="NRX16" s="251"/>
      <c r="NRY16" s="251"/>
      <c r="NRZ16" s="251"/>
      <c r="NSA16" s="251"/>
      <c r="NSB16" s="251"/>
      <c r="NSC16" s="251"/>
      <c r="NSD16" s="251"/>
      <c r="NSE16" s="251"/>
      <c r="NSF16" s="251"/>
      <c r="NSG16" s="251"/>
      <c r="NSH16" s="251"/>
      <c r="NSI16" s="251"/>
      <c r="NSJ16" s="251"/>
      <c r="NSK16" s="251"/>
      <c r="NSL16" s="251"/>
      <c r="NSM16" s="251"/>
      <c r="NSN16" s="251"/>
      <c r="NSO16" s="251"/>
      <c r="NSP16" s="251"/>
      <c r="NSQ16" s="251"/>
      <c r="NSR16" s="251"/>
      <c r="NSS16" s="251"/>
      <c r="NST16" s="251"/>
      <c r="NSU16" s="251"/>
      <c r="NSV16" s="251"/>
      <c r="NSW16" s="251"/>
      <c r="NSX16" s="251"/>
      <c r="NSY16" s="251"/>
      <c r="NSZ16" s="251"/>
      <c r="NTA16" s="251"/>
      <c r="NTB16" s="251"/>
      <c r="NTC16" s="251"/>
      <c r="NTD16" s="251"/>
      <c r="NTE16" s="251"/>
      <c r="NTF16" s="251"/>
      <c r="NTG16" s="251"/>
      <c r="NTH16" s="251"/>
      <c r="NTI16" s="251"/>
      <c r="NTJ16" s="251"/>
      <c r="NTK16" s="251"/>
      <c r="NTL16" s="251"/>
      <c r="NTM16" s="251"/>
      <c r="NTN16" s="251"/>
      <c r="NTO16" s="251"/>
      <c r="NTP16" s="251"/>
      <c r="NTQ16" s="251"/>
      <c r="NTR16" s="251"/>
      <c r="NTS16" s="251"/>
      <c r="NTT16" s="251"/>
      <c r="NTU16" s="251"/>
      <c r="NTV16" s="251"/>
      <c r="NTW16" s="251"/>
      <c r="NTX16" s="251"/>
      <c r="NTY16" s="251"/>
      <c r="NTZ16" s="251"/>
      <c r="NUA16" s="251"/>
      <c r="NUB16" s="251"/>
      <c r="NUC16" s="251"/>
      <c r="NUD16" s="251"/>
      <c r="NUE16" s="251"/>
      <c r="NUF16" s="251"/>
      <c r="NUG16" s="251"/>
      <c r="NUH16" s="251"/>
      <c r="NUI16" s="251"/>
      <c r="NUJ16" s="251"/>
      <c r="NUK16" s="251"/>
      <c r="NUL16" s="251"/>
      <c r="NUM16" s="251"/>
      <c r="NUN16" s="251"/>
      <c r="NUO16" s="251"/>
      <c r="NUP16" s="251"/>
      <c r="NUQ16" s="251"/>
      <c r="NUR16" s="251"/>
      <c r="NUS16" s="251"/>
      <c r="NUT16" s="251"/>
      <c r="NUU16" s="251"/>
      <c r="NUV16" s="251"/>
      <c r="NUW16" s="251"/>
      <c r="NUX16" s="251"/>
      <c r="NUY16" s="251"/>
      <c r="NUZ16" s="251"/>
      <c r="NVA16" s="251"/>
      <c r="NVB16" s="251"/>
      <c r="NVC16" s="251"/>
      <c r="NVD16" s="251"/>
      <c r="NVE16" s="251"/>
      <c r="NVF16" s="251"/>
      <c r="NVG16" s="251"/>
      <c r="NVH16" s="251"/>
      <c r="NVI16" s="251"/>
      <c r="NVJ16" s="251"/>
      <c r="NVK16" s="251"/>
      <c r="NVL16" s="251"/>
      <c r="NVM16" s="251"/>
      <c r="NVN16" s="251"/>
      <c r="NVO16" s="251"/>
      <c r="NVP16" s="251"/>
      <c r="NVQ16" s="251"/>
      <c r="NVR16" s="251"/>
      <c r="NVS16" s="251"/>
      <c r="NVT16" s="251"/>
      <c r="NVU16" s="251"/>
      <c r="NVV16" s="251"/>
      <c r="NVW16" s="251"/>
      <c r="NVX16" s="251"/>
      <c r="NVY16" s="251"/>
      <c r="NVZ16" s="251"/>
      <c r="NWA16" s="251"/>
      <c r="NWB16" s="251"/>
      <c r="NWC16" s="251"/>
      <c r="NWD16" s="251"/>
      <c r="NWE16" s="251"/>
      <c r="NWF16" s="251"/>
      <c r="NWG16" s="251"/>
      <c r="NWH16" s="251"/>
      <c r="NWI16" s="251"/>
      <c r="NWJ16" s="251"/>
      <c r="NWK16" s="251"/>
      <c r="NWL16" s="251"/>
      <c r="NWM16" s="251"/>
      <c r="NWN16" s="251"/>
      <c r="NWO16" s="251"/>
      <c r="NWP16" s="251"/>
      <c r="NWQ16" s="251"/>
      <c r="NWR16" s="251"/>
      <c r="NWS16" s="251"/>
      <c r="NWT16" s="251"/>
      <c r="NWU16" s="251"/>
      <c r="NWV16" s="251"/>
      <c r="NWW16" s="251"/>
      <c r="NWX16" s="251"/>
      <c r="NWY16" s="251"/>
      <c r="NWZ16" s="251"/>
      <c r="NXA16" s="251"/>
      <c r="NXB16" s="251"/>
      <c r="NXC16" s="251"/>
      <c r="NXD16" s="251"/>
      <c r="NXE16" s="251"/>
      <c r="NXF16" s="251"/>
      <c r="NXG16" s="251"/>
      <c r="NXH16" s="251"/>
      <c r="NXI16" s="251"/>
      <c r="NXJ16" s="251"/>
      <c r="NXK16" s="251"/>
      <c r="NXL16" s="251"/>
      <c r="NXM16" s="251"/>
      <c r="NXN16" s="251"/>
      <c r="NXO16" s="251"/>
      <c r="NXP16" s="251"/>
      <c r="NXQ16" s="251"/>
      <c r="NXR16" s="251"/>
      <c r="NXS16" s="251"/>
      <c r="NXT16" s="251"/>
      <c r="NXU16" s="251"/>
      <c r="NXV16" s="251"/>
      <c r="NXW16" s="251"/>
      <c r="NXX16" s="251"/>
      <c r="NXY16" s="251"/>
      <c r="NXZ16" s="251"/>
      <c r="NYA16" s="251"/>
      <c r="NYB16" s="251"/>
      <c r="NYC16" s="251"/>
      <c r="NYD16" s="251"/>
      <c r="NYE16" s="251"/>
      <c r="NYF16" s="251"/>
      <c r="NYG16" s="251"/>
      <c r="NYH16" s="251"/>
      <c r="NYI16" s="251"/>
      <c r="NYJ16" s="251"/>
      <c r="NYK16" s="251"/>
      <c r="NYL16" s="251"/>
      <c r="NYM16" s="251"/>
      <c r="NYN16" s="251"/>
      <c r="NYO16" s="251"/>
      <c r="NYP16" s="251"/>
      <c r="NYQ16" s="251"/>
      <c r="NYR16" s="251"/>
      <c r="NYS16" s="251"/>
      <c r="NYT16" s="251"/>
      <c r="NYU16" s="251"/>
      <c r="NYV16" s="251"/>
      <c r="NYW16" s="251"/>
      <c r="NYX16" s="251"/>
      <c r="NYY16" s="251"/>
      <c r="NYZ16" s="251"/>
      <c r="NZA16" s="251"/>
      <c r="NZB16" s="251"/>
      <c r="NZC16" s="251"/>
      <c r="NZD16" s="251"/>
      <c r="NZE16" s="251"/>
      <c r="NZF16" s="251"/>
      <c r="NZG16" s="251"/>
      <c r="NZH16" s="251"/>
      <c r="NZI16" s="251"/>
      <c r="NZJ16" s="251"/>
      <c r="NZK16" s="251"/>
      <c r="NZL16" s="251"/>
      <c r="NZM16" s="251"/>
      <c r="NZN16" s="251"/>
      <c r="NZO16" s="251"/>
      <c r="NZP16" s="251"/>
      <c r="NZQ16" s="251"/>
      <c r="NZR16" s="251"/>
      <c r="NZS16" s="251"/>
      <c r="NZT16" s="251"/>
      <c r="NZU16" s="251"/>
      <c r="NZV16" s="251"/>
      <c r="NZW16" s="251"/>
      <c r="NZX16" s="251"/>
      <c r="NZY16" s="251"/>
      <c r="NZZ16" s="251"/>
      <c r="OAA16" s="251"/>
      <c r="OAB16" s="251"/>
      <c r="OAC16" s="251"/>
      <c r="OAD16" s="251"/>
      <c r="OAE16" s="251"/>
      <c r="OAF16" s="251"/>
      <c r="OAG16" s="251"/>
      <c r="OAH16" s="251"/>
      <c r="OAI16" s="251"/>
      <c r="OAJ16" s="251"/>
      <c r="OAK16" s="251"/>
      <c r="OAL16" s="251"/>
      <c r="OAM16" s="251"/>
      <c r="OAN16" s="251"/>
      <c r="OAO16" s="251"/>
      <c r="OAP16" s="251"/>
      <c r="OAQ16" s="251"/>
      <c r="OAR16" s="251"/>
      <c r="OAS16" s="251"/>
      <c r="OAT16" s="251"/>
      <c r="OAU16" s="251"/>
      <c r="OAV16" s="251"/>
      <c r="OAW16" s="251"/>
      <c r="OAX16" s="251"/>
      <c r="OAY16" s="251"/>
      <c r="OAZ16" s="251"/>
      <c r="OBA16" s="251"/>
      <c r="OBB16" s="251"/>
      <c r="OBC16" s="251"/>
      <c r="OBD16" s="251"/>
      <c r="OBE16" s="251"/>
      <c r="OBF16" s="251"/>
      <c r="OBG16" s="251"/>
      <c r="OBH16" s="251"/>
      <c r="OBI16" s="251"/>
      <c r="OBJ16" s="251"/>
      <c r="OBK16" s="251"/>
      <c r="OBL16" s="251"/>
      <c r="OBM16" s="251"/>
      <c r="OBN16" s="251"/>
      <c r="OBO16" s="251"/>
      <c r="OBP16" s="251"/>
      <c r="OBQ16" s="251"/>
      <c r="OBR16" s="251"/>
      <c r="OBS16" s="251"/>
      <c r="OBT16" s="251"/>
      <c r="OBU16" s="251"/>
      <c r="OBV16" s="251"/>
      <c r="OBW16" s="251"/>
      <c r="OBX16" s="251"/>
      <c r="OBY16" s="251"/>
      <c r="OBZ16" s="251"/>
      <c r="OCA16" s="251"/>
      <c r="OCB16" s="251"/>
      <c r="OCC16" s="251"/>
      <c r="OCD16" s="251"/>
      <c r="OCE16" s="251"/>
      <c r="OCF16" s="251"/>
      <c r="OCG16" s="251"/>
      <c r="OCH16" s="251"/>
      <c r="OCI16" s="251"/>
      <c r="OCJ16" s="251"/>
      <c r="OCK16" s="251"/>
      <c r="OCL16" s="251"/>
      <c r="OCM16" s="251"/>
      <c r="OCN16" s="251"/>
      <c r="OCO16" s="251"/>
      <c r="OCP16" s="251"/>
      <c r="OCQ16" s="251"/>
      <c r="OCR16" s="251"/>
      <c r="OCS16" s="251"/>
      <c r="OCT16" s="251"/>
      <c r="OCU16" s="251"/>
      <c r="OCV16" s="251"/>
      <c r="OCW16" s="251"/>
      <c r="OCX16" s="251"/>
      <c r="OCY16" s="251"/>
      <c r="OCZ16" s="251"/>
      <c r="ODA16" s="251"/>
      <c r="ODB16" s="251"/>
      <c r="ODC16" s="251"/>
      <c r="ODD16" s="251"/>
      <c r="ODE16" s="251"/>
      <c r="ODF16" s="251"/>
      <c r="ODG16" s="251"/>
      <c r="ODH16" s="251"/>
      <c r="ODI16" s="251"/>
      <c r="ODJ16" s="251"/>
      <c r="ODK16" s="251"/>
      <c r="ODL16" s="251"/>
      <c r="ODM16" s="251"/>
      <c r="ODN16" s="251"/>
      <c r="ODO16" s="251"/>
      <c r="ODP16" s="251"/>
      <c r="ODQ16" s="251"/>
      <c r="ODR16" s="251"/>
      <c r="ODS16" s="251"/>
      <c r="ODT16" s="251"/>
      <c r="ODU16" s="251"/>
      <c r="ODV16" s="251"/>
      <c r="ODW16" s="251"/>
      <c r="ODX16" s="251"/>
      <c r="ODY16" s="251"/>
      <c r="ODZ16" s="251"/>
      <c r="OEA16" s="251"/>
      <c r="OEB16" s="251"/>
      <c r="OEC16" s="251"/>
      <c r="OED16" s="251"/>
      <c r="OEE16" s="251"/>
      <c r="OEF16" s="251"/>
      <c r="OEG16" s="251"/>
      <c r="OEH16" s="251"/>
      <c r="OEI16" s="251"/>
      <c r="OEJ16" s="251"/>
      <c r="OEK16" s="251"/>
      <c r="OEL16" s="251"/>
      <c r="OEM16" s="251"/>
      <c r="OEN16" s="251"/>
      <c r="OEO16" s="251"/>
      <c r="OEP16" s="251"/>
      <c r="OEQ16" s="251"/>
      <c r="OER16" s="251"/>
      <c r="OES16" s="251"/>
      <c r="OET16" s="251"/>
      <c r="OEU16" s="251"/>
      <c r="OEV16" s="251"/>
      <c r="OEW16" s="251"/>
      <c r="OEX16" s="251"/>
      <c r="OEY16" s="251"/>
      <c r="OEZ16" s="251"/>
      <c r="OFA16" s="251"/>
      <c r="OFB16" s="251"/>
      <c r="OFC16" s="251"/>
      <c r="OFD16" s="251"/>
      <c r="OFE16" s="251"/>
      <c r="OFF16" s="251"/>
      <c r="OFG16" s="251"/>
      <c r="OFH16" s="251"/>
      <c r="OFI16" s="251"/>
      <c r="OFJ16" s="251"/>
      <c r="OFK16" s="251"/>
      <c r="OFL16" s="251"/>
      <c r="OFM16" s="251"/>
      <c r="OFN16" s="251"/>
      <c r="OFO16" s="251"/>
      <c r="OFP16" s="251"/>
      <c r="OFQ16" s="251"/>
      <c r="OFR16" s="251"/>
      <c r="OFS16" s="251"/>
      <c r="OFT16" s="251"/>
      <c r="OFU16" s="251"/>
      <c r="OFV16" s="251"/>
      <c r="OFW16" s="251"/>
      <c r="OFX16" s="251"/>
      <c r="OFY16" s="251"/>
      <c r="OFZ16" s="251"/>
      <c r="OGA16" s="251"/>
      <c r="OGB16" s="251"/>
      <c r="OGC16" s="251"/>
      <c r="OGD16" s="251"/>
      <c r="OGE16" s="251"/>
      <c r="OGF16" s="251"/>
      <c r="OGG16" s="251"/>
      <c r="OGH16" s="251"/>
      <c r="OGI16" s="251"/>
      <c r="OGJ16" s="251"/>
      <c r="OGK16" s="251"/>
      <c r="OGL16" s="251"/>
      <c r="OGM16" s="251"/>
      <c r="OGN16" s="251"/>
      <c r="OGO16" s="251"/>
      <c r="OGP16" s="251"/>
      <c r="OGQ16" s="251"/>
      <c r="OGR16" s="251"/>
      <c r="OGS16" s="251"/>
      <c r="OGT16" s="251"/>
      <c r="OGU16" s="251"/>
      <c r="OGV16" s="251"/>
      <c r="OGW16" s="251"/>
      <c r="OGX16" s="251"/>
      <c r="OGY16" s="251"/>
      <c r="OGZ16" s="251"/>
      <c r="OHA16" s="251"/>
      <c r="OHB16" s="251"/>
      <c r="OHC16" s="251"/>
      <c r="OHD16" s="251"/>
      <c r="OHE16" s="251"/>
      <c r="OHF16" s="251"/>
      <c r="OHG16" s="251"/>
      <c r="OHH16" s="251"/>
      <c r="OHI16" s="251"/>
      <c r="OHJ16" s="251"/>
      <c r="OHK16" s="251"/>
      <c r="OHL16" s="251"/>
      <c r="OHM16" s="251"/>
      <c r="OHN16" s="251"/>
      <c r="OHO16" s="251"/>
      <c r="OHP16" s="251"/>
      <c r="OHQ16" s="251"/>
      <c r="OHR16" s="251"/>
      <c r="OHS16" s="251"/>
      <c r="OHT16" s="251"/>
      <c r="OHU16" s="251"/>
      <c r="OHV16" s="251"/>
      <c r="OHW16" s="251"/>
      <c r="OHX16" s="251"/>
      <c r="OHY16" s="251"/>
      <c r="OHZ16" s="251"/>
      <c r="OIA16" s="251"/>
      <c r="OIB16" s="251"/>
      <c r="OIC16" s="251"/>
      <c r="OID16" s="251"/>
      <c r="OIE16" s="251"/>
      <c r="OIF16" s="251"/>
      <c r="OIG16" s="251"/>
      <c r="OIH16" s="251"/>
      <c r="OII16" s="251"/>
      <c r="OIJ16" s="251"/>
      <c r="OIK16" s="251"/>
      <c r="OIL16" s="251"/>
      <c r="OIM16" s="251"/>
      <c r="OIN16" s="251"/>
      <c r="OIO16" s="251"/>
      <c r="OIP16" s="251"/>
      <c r="OIQ16" s="251"/>
      <c r="OIR16" s="251"/>
      <c r="OIS16" s="251"/>
      <c r="OIT16" s="251"/>
      <c r="OIU16" s="251"/>
      <c r="OIV16" s="251"/>
      <c r="OIW16" s="251"/>
      <c r="OIX16" s="251"/>
      <c r="OIY16" s="251"/>
      <c r="OIZ16" s="251"/>
      <c r="OJA16" s="251"/>
      <c r="OJB16" s="251"/>
      <c r="OJC16" s="251"/>
      <c r="OJD16" s="251"/>
      <c r="OJE16" s="251"/>
      <c r="OJF16" s="251"/>
      <c r="OJG16" s="251"/>
      <c r="OJH16" s="251"/>
      <c r="OJI16" s="251"/>
      <c r="OJJ16" s="251"/>
      <c r="OJK16" s="251"/>
      <c r="OJL16" s="251"/>
      <c r="OJM16" s="251"/>
      <c r="OJN16" s="251"/>
      <c r="OJO16" s="251"/>
      <c r="OJP16" s="251"/>
      <c r="OJQ16" s="251"/>
      <c r="OJR16" s="251"/>
      <c r="OJS16" s="251"/>
      <c r="OJT16" s="251"/>
      <c r="OJU16" s="251"/>
      <c r="OJV16" s="251"/>
      <c r="OJW16" s="251"/>
      <c r="OJX16" s="251"/>
      <c r="OJY16" s="251"/>
      <c r="OJZ16" s="251"/>
      <c r="OKA16" s="251"/>
      <c r="OKB16" s="251"/>
      <c r="OKC16" s="251"/>
      <c r="OKD16" s="251"/>
      <c r="OKE16" s="251"/>
      <c r="OKF16" s="251"/>
      <c r="OKG16" s="251"/>
      <c r="OKH16" s="251"/>
      <c r="OKI16" s="251"/>
      <c r="OKJ16" s="251"/>
      <c r="OKK16" s="251"/>
      <c r="OKL16" s="251"/>
      <c r="OKM16" s="251"/>
      <c r="OKN16" s="251"/>
      <c r="OKO16" s="251"/>
      <c r="OKP16" s="251"/>
      <c r="OKQ16" s="251"/>
      <c r="OKR16" s="251"/>
      <c r="OKS16" s="251"/>
      <c r="OKT16" s="251"/>
      <c r="OKU16" s="251"/>
      <c r="OKV16" s="251"/>
      <c r="OKW16" s="251"/>
      <c r="OKX16" s="251"/>
      <c r="OKY16" s="251"/>
      <c r="OKZ16" s="251"/>
      <c r="OLA16" s="251"/>
      <c r="OLB16" s="251"/>
      <c r="OLC16" s="251"/>
      <c r="OLD16" s="251"/>
      <c r="OLE16" s="251"/>
      <c r="OLF16" s="251"/>
      <c r="OLG16" s="251"/>
      <c r="OLH16" s="251"/>
      <c r="OLI16" s="251"/>
      <c r="OLJ16" s="251"/>
      <c r="OLK16" s="251"/>
      <c r="OLL16" s="251"/>
      <c r="OLM16" s="251"/>
      <c r="OLN16" s="251"/>
      <c r="OLO16" s="251"/>
      <c r="OLP16" s="251"/>
      <c r="OLQ16" s="251"/>
      <c r="OLR16" s="251"/>
      <c r="OLS16" s="251"/>
      <c r="OLT16" s="251"/>
      <c r="OLU16" s="251"/>
      <c r="OLV16" s="251"/>
      <c r="OLW16" s="251"/>
      <c r="OLX16" s="251"/>
      <c r="OLY16" s="251"/>
      <c r="OLZ16" s="251"/>
      <c r="OMA16" s="251"/>
      <c r="OMB16" s="251"/>
      <c r="OMC16" s="251"/>
      <c r="OMD16" s="251"/>
      <c r="OME16" s="251"/>
      <c r="OMF16" s="251"/>
      <c r="OMG16" s="251"/>
      <c r="OMH16" s="251"/>
      <c r="OMI16" s="251"/>
      <c r="OMJ16" s="251"/>
      <c r="OMK16" s="251"/>
      <c r="OML16" s="251"/>
      <c r="OMM16" s="251"/>
      <c r="OMN16" s="251"/>
      <c r="OMO16" s="251"/>
      <c r="OMP16" s="251"/>
      <c r="OMQ16" s="251"/>
      <c r="OMR16" s="251"/>
      <c r="OMS16" s="251"/>
      <c r="OMT16" s="251"/>
      <c r="OMU16" s="251"/>
      <c r="OMV16" s="251"/>
      <c r="OMW16" s="251"/>
      <c r="OMX16" s="251"/>
      <c r="OMY16" s="251"/>
      <c r="OMZ16" s="251"/>
      <c r="ONA16" s="251"/>
      <c r="ONB16" s="251"/>
      <c r="ONC16" s="251"/>
      <c r="OND16" s="251"/>
      <c r="ONE16" s="251"/>
      <c r="ONF16" s="251"/>
      <c r="ONG16" s="251"/>
      <c r="ONH16" s="251"/>
      <c r="ONI16" s="251"/>
      <c r="ONJ16" s="251"/>
      <c r="ONK16" s="251"/>
      <c r="ONL16" s="251"/>
      <c r="ONM16" s="251"/>
      <c r="ONN16" s="251"/>
      <c r="ONO16" s="251"/>
      <c r="ONP16" s="251"/>
      <c r="ONQ16" s="251"/>
      <c r="ONR16" s="251"/>
      <c r="ONS16" s="251"/>
      <c r="ONT16" s="251"/>
      <c r="ONU16" s="251"/>
      <c r="ONV16" s="251"/>
      <c r="ONW16" s="251"/>
      <c r="ONX16" s="251"/>
      <c r="ONY16" s="251"/>
      <c r="ONZ16" s="251"/>
      <c r="OOA16" s="251"/>
      <c r="OOB16" s="251"/>
      <c r="OOC16" s="251"/>
      <c r="OOD16" s="251"/>
      <c r="OOE16" s="251"/>
      <c r="OOF16" s="251"/>
      <c r="OOG16" s="251"/>
      <c r="OOH16" s="251"/>
      <c r="OOI16" s="251"/>
      <c r="OOJ16" s="251"/>
      <c r="OOK16" s="251"/>
      <c r="OOL16" s="251"/>
      <c r="OOM16" s="251"/>
      <c r="OON16" s="251"/>
      <c r="OOO16" s="251"/>
      <c r="OOP16" s="251"/>
      <c r="OOQ16" s="251"/>
      <c r="OOR16" s="251"/>
      <c r="OOS16" s="251"/>
      <c r="OOT16" s="251"/>
      <c r="OOU16" s="251"/>
      <c r="OOV16" s="251"/>
      <c r="OOW16" s="251"/>
      <c r="OOX16" s="251"/>
      <c r="OOY16" s="251"/>
      <c r="OOZ16" s="251"/>
      <c r="OPA16" s="251"/>
      <c r="OPB16" s="251"/>
      <c r="OPC16" s="251"/>
      <c r="OPD16" s="251"/>
      <c r="OPE16" s="251"/>
      <c r="OPF16" s="251"/>
      <c r="OPG16" s="251"/>
      <c r="OPH16" s="251"/>
      <c r="OPI16" s="251"/>
      <c r="OPJ16" s="251"/>
      <c r="OPK16" s="251"/>
      <c r="OPL16" s="251"/>
      <c r="OPM16" s="251"/>
      <c r="OPN16" s="251"/>
      <c r="OPO16" s="251"/>
      <c r="OPP16" s="251"/>
      <c r="OPQ16" s="251"/>
      <c r="OPR16" s="251"/>
      <c r="OPS16" s="251"/>
      <c r="OPT16" s="251"/>
      <c r="OPU16" s="251"/>
      <c r="OPV16" s="251"/>
      <c r="OPW16" s="251"/>
      <c r="OPX16" s="251"/>
      <c r="OPY16" s="251"/>
      <c r="OPZ16" s="251"/>
      <c r="OQA16" s="251"/>
      <c r="OQB16" s="251"/>
      <c r="OQC16" s="251"/>
      <c r="OQD16" s="251"/>
      <c r="OQE16" s="251"/>
      <c r="OQF16" s="251"/>
      <c r="OQG16" s="251"/>
      <c r="OQH16" s="251"/>
      <c r="OQI16" s="251"/>
      <c r="OQJ16" s="251"/>
      <c r="OQK16" s="251"/>
      <c r="OQL16" s="251"/>
      <c r="OQM16" s="251"/>
      <c r="OQN16" s="251"/>
      <c r="OQO16" s="251"/>
      <c r="OQP16" s="251"/>
      <c r="OQQ16" s="251"/>
      <c r="OQR16" s="251"/>
      <c r="OQS16" s="251"/>
      <c r="OQT16" s="251"/>
      <c r="OQU16" s="251"/>
      <c r="OQV16" s="251"/>
      <c r="OQW16" s="251"/>
      <c r="OQX16" s="251"/>
      <c r="OQY16" s="251"/>
      <c r="OQZ16" s="251"/>
      <c r="ORA16" s="251"/>
      <c r="ORB16" s="251"/>
      <c r="ORC16" s="251"/>
      <c r="ORD16" s="251"/>
      <c r="ORE16" s="251"/>
      <c r="ORF16" s="251"/>
      <c r="ORG16" s="251"/>
      <c r="ORH16" s="251"/>
      <c r="ORI16" s="251"/>
      <c r="ORJ16" s="251"/>
      <c r="ORK16" s="251"/>
      <c r="ORL16" s="251"/>
      <c r="ORM16" s="251"/>
      <c r="ORN16" s="251"/>
      <c r="ORO16" s="251"/>
      <c r="ORP16" s="251"/>
      <c r="ORQ16" s="251"/>
      <c r="ORR16" s="251"/>
      <c r="ORS16" s="251"/>
      <c r="ORT16" s="251"/>
      <c r="ORU16" s="251"/>
      <c r="ORV16" s="251"/>
      <c r="ORW16" s="251"/>
      <c r="ORX16" s="251"/>
      <c r="ORY16" s="251"/>
      <c r="ORZ16" s="251"/>
      <c r="OSA16" s="251"/>
      <c r="OSB16" s="251"/>
      <c r="OSC16" s="251"/>
      <c r="OSD16" s="251"/>
      <c r="OSE16" s="251"/>
      <c r="OSF16" s="251"/>
      <c r="OSG16" s="251"/>
      <c r="OSH16" s="251"/>
      <c r="OSI16" s="251"/>
      <c r="OSJ16" s="251"/>
      <c r="OSK16" s="251"/>
      <c r="OSL16" s="251"/>
      <c r="OSM16" s="251"/>
      <c r="OSN16" s="251"/>
      <c r="OSO16" s="251"/>
      <c r="OSP16" s="251"/>
      <c r="OSQ16" s="251"/>
      <c r="OSR16" s="251"/>
      <c r="OSS16" s="251"/>
      <c r="OST16" s="251"/>
      <c r="OSU16" s="251"/>
      <c r="OSV16" s="251"/>
      <c r="OSW16" s="251"/>
      <c r="OSX16" s="251"/>
      <c r="OSY16" s="251"/>
      <c r="OSZ16" s="251"/>
      <c r="OTA16" s="251"/>
      <c r="OTB16" s="251"/>
      <c r="OTC16" s="251"/>
      <c r="OTD16" s="251"/>
      <c r="OTE16" s="251"/>
      <c r="OTF16" s="251"/>
      <c r="OTG16" s="251"/>
      <c r="OTH16" s="251"/>
      <c r="OTI16" s="251"/>
      <c r="OTJ16" s="251"/>
      <c r="OTK16" s="251"/>
      <c r="OTL16" s="251"/>
      <c r="OTM16" s="251"/>
      <c r="OTN16" s="251"/>
      <c r="OTO16" s="251"/>
      <c r="OTP16" s="251"/>
      <c r="OTQ16" s="251"/>
      <c r="OTR16" s="251"/>
      <c r="OTS16" s="251"/>
      <c r="OTT16" s="251"/>
      <c r="OTU16" s="251"/>
      <c r="OTV16" s="251"/>
      <c r="OTW16" s="251"/>
      <c r="OTX16" s="251"/>
      <c r="OTY16" s="251"/>
      <c r="OTZ16" s="251"/>
      <c r="OUA16" s="251"/>
      <c r="OUB16" s="251"/>
      <c r="OUC16" s="251"/>
      <c r="OUD16" s="251"/>
      <c r="OUE16" s="251"/>
      <c r="OUF16" s="251"/>
      <c r="OUG16" s="251"/>
      <c r="OUH16" s="251"/>
      <c r="OUI16" s="251"/>
      <c r="OUJ16" s="251"/>
      <c r="OUK16" s="251"/>
      <c r="OUL16" s="251"/>
      <c r="OUM16" s="251"/>
      <c r="OUN16" s="251"/>
      <c r="OUO16" s="251"/>
      <c r="OUP16" s="251"/>
      <c r="OUQ16" s="251"/>
      <c r="OUR16" s="251"/>
      <c r="OUS16" s="251"/>
      <c r="OUT16" s="251"/>
      <c r="OUU16" s="251"/>
      <c r="OUV16" s="251"/>
      <c r="OUW16" s="251"/>
      <c r="OUX16" s="251"/>
      <c r="OUY16" s="251"/>
      <c r="OUZ16" s="251"/>
      <c r="OVA16" s="251"/>
      <c r="OVB16" s="251"/>
      <c r="OVC16" s="251"/>
      <c r="OVD16" s="251"/>
      <c r="OVE16" s="251"/>
      <c r="OVF16" s="251"/>
      <c r="OVG16" s="251"/>
      <c r="OVH16" s="251"/>
      <c r="OVI16" s="251"/>
      <c r="OVJ16" s="251"/>
      <c r="OVK16" s="251"/>
      <c r="OVL16" s="251"/>
      <c r="OVM16" s="251"/>
      <c r="OVN16" s="251"/>
      <c r="OVO16" s="251"/>
      <c r="OVP16" s="251"/>
      <c r="OVQ16" s="251"/>
      <c r="OVR16" s="251"/>
      <c r="OVS16" s="251"/>
      <c r="OVT16" s="251"/>
      <c r="OVU16" s="251"/>
      <c r="OVV16" s="251"/>
      <c r="OVW16" s="251"/>
      <c r="OVX16" s="251"/>
      <c r="OVY16" s="251"/>
      <c r="OVZ16" s="251"/>
      <c r="OWA16" s="251"/>
      <c r="OWB16" s="251"/>
      <c r="OWC16" s="251"/>
      <c r="OWD16" s="251"/>
      <c r="OWE16" s="251"/>
      <c r="OWF16" s="251"/>
      <c r="OWG16" s="251"/>
      <c r="OWH16" s="251"/>
      <c r="OWI16" s="251"/>
      <c r="OWJ16" s="251"/>
      <c r="OWK16" s="251"/>
      <c r="OWL16" s="251"/>
      <c r="OWM16" s="251"/>
      <c r="OWN16" s="251"/>
      <c r="OWO16" s="251"/>
      <c r="OWP16" s="251"/>
      <c r="OWQ16" s="251"/>
      <c r="OWR16" s="251"/>
      <c r="OWS16" s="251"/>
      <c r="OWT16" s="251"/>
      <c r="OWU16" s="251"/>
      <c r="OWV16" s="251"/>
      <c r="OWW16" s="251"/>
      <c r="OWX16" s="251"/>
      <c r="OWY16" s="251"/>
      <c r="OWZ16" s="251"/>
      <c r="OXA16" s="251"/>
      <c r="OXB16" s="251"/>
      <c r="OXC16" s="251"/>
      <c r="OXD16" s="251"/>
      <c r="OXE16" s="251"/>
      <c r="OXF16" s="251"/>
      <c r="OXG16" s="251"/>
      <c r="OXH16" s="251"/>
      <c r="OXI16" s="251"/>
      <c r="OXJ16" s="251"/>
      <c r="OXK16" s="251"/>
      <c r="OXL16" s="251"/>
      <c r="OXM16" s="251"/>
      <c r="OXN16" s="251"/>
      <c r="OXO16" s="251"/>
      <c r="OXP16" s="251"/>
      <c r="OXQ16" s="251"/>
      <c r="OXR16" s="251"/>
      <c r="OXS16" s="251"/>
      <c r="OXT16" s="251"/>
      <c r="OXU16" s="251"/>
      <c r="OXV16" s="251"/>
      <c r="OXW16" s="251"/>
      <c r="OXX16" s="251"/>
      <c r="OXY16" s="251"/>
      <c r="OXZ16" s="251"/>
      <c r="OYA16" s="251"/>
      <c r="OYB16" s="251"/>
      <c r="OYC16" s="251"/>
      <c r="OYD16" s="251"/>
      <c r="OYE16" s="251"/>
      <c r="OYF16" s="251"/>
      <c r="OYG16" s="251"/>
      <c r="OYH16" s="251"/>
      <c r="OYI16" s="251"/>
      <c r="OYJ16" s="251"/>
      <c r="OYK16" s="251"/>
      <c r="OYL16" s="251"/>
      <c r="OYM16" s="251"/>
      <c r="OYN16" s="251"/>
      <c r="OYO16" s="251"/>
      <c r="OYP16" s="251"/>
      <c r="OYQ16" s="251"/>
      <c r="OYR16" s="251"/>
      <c r="OYS16" s="251"/>
      <c r="OYT16" s="251"/>
      <c r="OYU16" s="251"/>
      <c r="OYV16" s="251"/>
      <c r="OYW16" s="251"/>
      <c r="OYX16" s="251"/>
      <c r="OYY16" s="251"/>
      <c r="OYZ16" s="251"/>
      <c r="OZA16" s="251"/>
      <c r="OZB16" s="251"/>
      <c r="OZC16" s="251"/>
      <c r="OZD16" s="251"/>
      <c r="OZE16" s="251"/>
      <c r="OZF16" s="251"/>
      <c r="OZG16" s="251"/>
      <c r="OZH16" s="251"/>
      <c r="OZI16" s="251"/>
      <c r="OZJ16" s="251"/>
      <c r="OZK16" s="251"/>
      <c r="OZL16" s="251"/>
      <c r="OZM16" s="251"/>
      <c r="OZN16" s="251"/>
      <c r="OZO16" s="251"/>
      <c r="OZP16" s="251"/>
      <c r="OZQ16" s="251"/>
      <c r="OZR16" s="251"/>
      <c r="OZS16" s="251"/>
      <c r="OZT16" s="251"/>
      <c r="OZU16" s="251"/>
      <c r="OZV16" s="251"/>
      <c r="OZW16" s="251"/>
      <c r="OZX16" s="251"/>
      <c r="OZY16" s="251"/>
      <c r="OZZ16" s="251"/>
      <c r="PAA16" s="251"/>
      <c r="PAB16" s="251"/>
      <c r="PAC16" s="251"/>
      <c r="PAD16" s="251"/>
      <c r="PAE16" s="251"/>
      <c r="PAF16" s="251"/>
      <c r="PAG16" s="251"/>
      <c r="PAH16" s="251"/>
      <c r="PAI16" s="251"/>
      <c r="PAJ16" s="251"/>
      <c r="PAK16" s="251"/>
      <c r="PAL16" s="251"/>
      <c r="PAM16" s="251"/>
      <c r="PAN16" s="251"/>
      <c r="PAO16" s="251"/>
      <c r="PAP16" s="251"/>
      <c r="PAQ16" s="251"/>
      <c r="PAR16" s="251"/>
      <c r="PAS16" s="251"/>
      <c r="PAT16" s="251"/>
      <c r="PAU16" s="251"/>
      <c r="PAV16" s="251"/>
      <c r="PAW16" s="251"/>
      <c r="PAX16" s="251"/>
      <c r="PAY16" s="251"/>
      <c r="PAZ16" s="251"/>
      <c r="PBA16" s="251"/>
      <c r="PBB16" s="251"/>
      <c r="PBC16" s="251"/>
      <c r="PBD16" s="251"/>
      <c r="PBE16" s="251"/>
      <c r="PBF16" s="251"/>
      <c r="PBG16" s="251"/>
      <c r="PBH16" s="251"/>
      <c r="PBI16" s="251"/>
      <c r="PBJ16" s="251"/>
      <c r="PBK16" s="251"/>
      <c r="PBL16" s="251"/>
      <c r="PBM16" s="251"/>
      <c r="PBN16" s="251"/>
      <c r="PBO16" s="251"/>
      <c r="PBP16" s="251"/>
      <c r="PBQ16" s="251"/>
      <c r="PBR16" s="251"/>
      <c r="PBS16" s="251"/>
      <c r="PBT16" s="251"/>
      <c r="PBU16" s="251"/>
      <c r="PBV16" s="251"/>
      <c r="PBW16" s="251"/>
      <c r="PBX16" s="251"/>
      <c r="PBY16" s="251"/>
      <c r="PBZ16" s="251"/>
      <c r="PCA16" s="251"/>
      <c r="PCB16" s="251"/>
      <c r="PCC16" s="251"/>
      <c r="PCD16" s="251"/>
      <c r="PCE16" s="251"/>
      <c r="PCF16" s="251"/>
      <c r="PCG16" s="251"/>
      <c r="PCH16" s="251"/>
      <c r="PCI16" s="251"/>
      <c r="PCJ16" s="251"/>
      <c r="PCK16" s="251"/>
      <c r="PCL16" s="251"/>
      <c r="PCM16" s="251"/>
      <c r="PCN16" s="251"/>
      <c r="PCO16" s="251"/>
      <c r="PCP16" s="251"/>
      <c r="PCQ16" s="251"/>
      <c r="PCR16" s="251"/>
      <c r="PCS16" s="251"/>
      <c r="PCT16" s="251"/>
      <c r="PCU16" s="251"/>
      <c r="PCV16" s="251"/>
      <c r="PCW16" s="251"/>
      <c r="PCX16" s="251"/>
      <c r="PCY16" s="251"/>
      <c r="PCZ16" s="251"/>
      <c r="PDA16" s="251"/>
      <c r="PDB16" s="251"/>
      <c r="PDC16" s="251"/>
      <c r="PDD16" s="251"/>
      <c r="PDE16" s="251"/>
      <c r="PDF16" s="251"/>
      <c r="PDG16" s="251"/>
      <c r="PDH16" s="251"/>
      <c r="PDI16" s="251"/>
      <c r="PDJ16" s="251"/>
      <c r="PDK16" s="251"/>
      <c r="PDL16" s="251"/>
      <c r="PDM16" s="251"/>
      <c r="PDN16" s="251"/>
      <c r="PDO16" s="251"/>
      <c r="PDP16" s="251"/>
      <c r="PDQ16" s="251"/>
      <c r="PDR16" s="251"/>
      <c r="PDS16" s="251"/>
      <c r="PDT16" s="251"/>
      <c r="PDU16" s="251"/>
      <c r="PDV16" s="251"/>
      <c r="PDW16" s="251"/>
      <c r="PDX16" s="251"/>
      <c r="PDY16" s="251"/>
      <c r="PDZ16" s="251"/>
      <c r="PEA16" s="251"/>
      <c r="PEB16" s="251"/>
      <c r="PEC16" s="251"/>
      <c r="PED16" s="251"/>
      <c r="PEE16" s="251"/>
      <c r="PEF16" s="251"/>
      <c r="PEG16" s="251"/>
      <c r="PEH16" s="251"/>
      <c r="PEI16" s="251"/>
      <c r="PEJ16" s="251"/>
      <c r="PEK16" s="251"/>
      <c r="PEL16" s="251"/>
      <c r="PEM16" s="251"/>
      <c r="PEN16" s="251"/>
      <c r="PEO16" s="251"/>
      <c r="PEP16" s="251"/>
      <c r="PEQ16" s="251"/>
      <c r="PER16" s="251"/>
      <c r="PES16" s="251"/>
      <c r="PET16" s="251"/>
      <c r="PEU16" s="251"/>
      <c r="PEV16" s="251"/>
      <c r="PEW16" s="251"/>
      <c r="PEX16" s="251"/>
      <c r="PEY16" s="251"/>
      <c r="PEZ16" s="251"/>
      <c r="PFA16" s="251"/>
      <c r="PFB16" s="251"/>
      <c r="PFC16" s="251"/>
      <c r="PFD16" s="251"/>
      <c r="PFE16" s="251"/>
      <c r="PFF16" s="251"/>
      <c r="PFG16" s="251"/>
      <c r="PFH16" s="251"/>
      <c r="PFI16" s="251"/>
      <c r="PFJ16" s="251"/>
      <c r="PFK16" s="251"/>
      <c r="PFL16" s="251"/>
      <c r="PFM16" s="251"/>
      <c r="PFN16" s="251"/>
      <c r="PFO16" s="251"/>
      <c r="PFP16" s="251"/>
      <c r="PFQ16" s="251"/>
      <c r="PFR16" s="251"/>
      <c r="PFS16" s="251"/>
      <c r="PFT16" s="251"/>
      <c r="PFU16" s="251"/>
      <c r="PFV16" s="251"/>
      <c r="PFW16" s="251"/>
      <c r="PFX16" s="251"/>
      <c r="PFY16" s="251"/>
      <c r="PFZ16" s="251"/>
      <c r="PGA16" s="251"/>
      <c r="PGB16" s="251"/>
      <c r="PGC16" s="251"/>
      <c r="PGD16" s="251"/>
      <c r="PGE16" s="251"/>
      <c r="PGF16" s="251"/>
      <c r="PGG16" s="251"/>
      <c r="PGH16" s="251"/>
      <c r="PGI16" s="251"/>
      <c r="PGJ16" s="251"/>
      <c r="PGK16" s="251"/>
      <c r="PGL16" s="251"/>
      <c r="PGM16" s="251"/>
      <c r="PGN16" s="251"/>
      <c r="PGO16" s="251"/>
      <c r="PGP16" s="251"/>
      <c r="PGQ16" s="251"/>
      <c r="PGR16" s="251"/>
      <c r="PGS16" s="251"/>
      <c r="PGT16" s="251"/>
      <c r="PGU16" s="251"/>
      <c r="PGV16" s="251"/>
      <c r="PGW16" s="251"/>
      <c r="PGX16" s="251"/>
      <c r="PGY16" s="251"/>
      <c r="PGZ16" s="251"/>
      <c r="PHA16" s="251"/>
      <c r="PHB16" s="251"/>
      <c r="PHC16" s="251"/>
      <c r="PHD16" s="251"/>
      <c r="PHE16" s="251"/>
      <c r="PHF16" s="251"/>
      <c r="PHG16" s="251"/>
      <c r="PHH16" s="251"/>
      <c r="PHI16" s="251"/>
      <c r="PHJ16" s="251"/>
      <c r="PHK16" s="251"/>
      <c r="PHL16" s="251"/>
      <c r="PHM16" s="251"/>
      <c r="PHN16" s="251"/>
      <c r="PHO16" s="251"/>
      <c r="PHP16" s="251"/>
      <c r="PHQ16" s="251"/>
      <c r="PHR16" s="251"/>
      <c r="PHS16" s="251"/>
      <c r="PHT16" s="251"/>
      <c r="PHU16" s="251"/>
      <c r="PHV16" s="251"/>
      <c r="PHW16" s="251"/>
      <c r="PHX16" s="251"/>
      <c r="PHY16" s="251"/>
      <c r="PHZ16" s="251"/>
      <c r="PIA16" s="251"/>
      <c r="PIB16" s="251"/>
      <c r="PIC16" s="251"/>
      <c r="PID16" s="251"/>
      <c r="PIE16" s="251"/>
      <c r="PIF16" s="251"/>
      <c r="PIG16" s="251"/>
      <c r="PIH16" s="251"/>
      <c r="PII16" s="251"/>
      <c r="PIJ16" s="251"/>
      <c r="PIK16" s="251"/>
      <c r="PIL16" s="251"/>
      <c r="PIM16" s="251"/>
      <c r="PIN16" s="251"/>
      <c r="PIO16" s="251"/>
      <c r="PIP16" s="251"/>
      <c r="PIQ16" s="251"/>
      <c r="PIR16" s="251"/>
      <c r="PIS16" s="251"/>
      <c r="PIT16" s="251"/>
      <c r="PIU16" s="251"/>
      <c r="PIV16" s="251"/>
      <c r="PIW16" s="251"/>
      <c r="PIX16" s="251"/>
      <c r="PIY16" s="251"/>
      <c r="PIZ16" s="251"/>
      <c r="PJA16" s="251"/>
      <c r="PJB16" s="251"/>
      <c r="PJC16" s="251"/>
      <c r="PJD16" s="251"/>
      <c r="PJE16" s="251"/>
      <c r="PJF16" s="251"/>
      <c r="PJG16" s="251"/>
      <c r="PJH16" s="251"/>
      <c r="PJI16" s="251"/>
      <c r="PJJ16" s="251"/>
      <c r="PJK16" s="251"/>
      <c r="PJL16" s="251"/>
      <c r="PJM16" s="251"/>
      <c r="PJN16" s="251"/>
      <c r="PJO16" s="251"/>
      <c r="PJP16" s="251"/>
      <c r="PJQ16" s="251"/>
      <c r="PJR16" s="251"/>
      <c r="PJS16" s="251"/>
      <c r="PJT16" s="251"/>
      <c r="PJU16" s="251"/>
      <c r="PJV16" s="251"/>
      <c r="PJW16" s="251"/>
      <c r="PJX16" s="251"/>
      <c r="PJY16" s="251"/>
      <c r="PJZ16" s="251"/>
      <c r="PKA16" s="251"/>
      <c r="PKB16" s="251"/>
      <c r="PKC16" s="251"/>
      <c r="PKD16" s="251"/>
      <c r="PKE16" s="251"/>
      <c r="PKF16" s="251"/>
      <c r="PKG16" s="251"/>
      <c r="PKH16" s="251"/>
      <c r="PKI16" s="251"/>
      <c r="PKJ16" s="251"/>
      <c r="PKK16" s="251"/>
      <c r="PKL16" s="251"/>
      <c r="PKM16" s="251"/>
      <c r="PKN16" s="251"/>
      <c r="PKO16" s="251"/>
      <c r="PKP16" s="251"/>
      <c r="PKQ16" s="251"/>
      <c r="PKR16" s="251"/>
      <c r="PKS16" s="251"/>
      <c r="PKT16" s="251"/>
      <c r="PKU16" s="251"/>
      <c r="PKV16" s="251"/>
      <c r="PKW16" s="251"/>
      <c r="PKX16" s="251"/>
      <c r="PKY16" s="251"/>
      <c r="PKZ16" s="251"/>
      <c r="PLA16" s="251"/>
      <c r="PLB16" s="251"/>
      <c r="PLC16" s="251"/>
      <c r="PLD16" s="251"/>
      <c r="PLE16" s="251"/>
      <c r="PLF16" s="251"/>
      <c r="PLG16" s="251"/>
      <c r="PLH16" s="251"/>
      <c r="PLI16" s="251"/>
      <c r="PLJ16" s="251"/>
      <c r="PLK16" s="251"/>
      <c r="PLL16" s="251"/>
      <c r="PLM16" s="251"/>
      <c r="PLN16" s="251"/>
      <c r="PLO16" s="251"/>
      <c r="PLP16" s="251"/>
      <c r="PLQ16" s="251"/>
      <c r="PLR16" s="251"/>
      <c r="PLS16" s="251"/>
      <c r="PLT16" s="251"/>
      <c r="PLU16" s="251"/>
      <c r="PLV16" s="251"/>
      <c r="PLW16" s="251"/>
      <c r="PLX16" s="251"/>
      <c r="PLY16" s="251"/>
      <c r="PLZ16" s="251"/>
      <c r="PMA16" s="251"/>
      <c r="PMB16" s="251"/>
      <c r="PMC16" s="251"/>
      <c r="PMD16" s="251"/>
      <c r="PME16" s="251"/>
      <c r="PMF16" s="251"/>
      <c r="PMG16" s="251"/>
      <c r="PMH16" s="251"/>
      <c r="PMI16" s="251"/>
      <c r="PMJ16" s="251"/>
      <c r="PMK16" s="251"/>
      <c r="PML16" s="251"/>
      <c r="PMM16" s="251"/>
      <c r="PMN16" s="251"/>
      <c r="PMO16" s="251"/>
      <c r="PMP16" s="251"/>
      <c r="PMQ16" s="251"/>
      <c r="PMR16" s="251"/>
      <c r="PMS16" s="251"/>
      <c r="PMT16" s="251"/>
      <c r="PMU16" s="251"/>
      <c r="PMV16" s="251"/>
      <c r="PMW16" s="251"/>
      <c r="PMX16" s="251"/>
      <c r="PMY16" s="251"/>
      <c r="PMZ16" s="251"/>
      <c r="PNA16" s="251"/>
      <c r="PNB16" s="251"/>
      <c r="PNC16" s="251"/>
      <c r="PND16" s="251"/>
      <c r="PNE16" s="251"/>
      <c r="PNF16" s="251"/>
      <c r="PNG16" s="251"/>
      <c r="PNH16" s="251"/>
      <c r="PNI16" s="251"/>
      <c r="PNJ16" s="251"/>
      <c r="PNK16" s="251"/>
      <c r="PNL16" s="251"/>
      <c r="PNM16" s="251"/>
      <c r="PNN16" s="251"/>
      <c r="PNO16" s="251"/>
      <c r="PNP16" s="251"/>
      <c r="PNQ16" s="251"/>
      <c r="PNR16" s="251"/>
      <c r="PNS16" s="251"/>
      <c r="PNT16" s="251"/>
      <c r="PNU16" s="251"/>
      <c r="PNV16" s="251"/>
      <c r="PNW16" s="251"/>
      <c r="PNX16" s="251"/>
      <c r="PNY16" s="251"/>
      <c r="PNZ16" s="251"/>
      <c r="POA16" s="251"/>
      <c r="POB16" s="251"/>
      <c r="POC16" s="251"/>
      <c r="POD16" s="251"/>
      <c r="POE16" s="251"/>
      <c r="POF16" s="251"/>
      <c r="POG16" s="251"/>
      <c r="POH16" s="251"/>
      <c r="POI16" s="251"/>
      <c r="POJ16" s="251"/>
      <c r="POK16" s="251"/>
      <c r="POL16" s="251"/>
      <c r="POM16" s="251"/>
      <c r="PON16" s="251"/>
      <c r="POO16" s="251"/>
      <c r="POP16" s="251"/>
      <c r="POQ16" s="251"/>
      <c r="POR16" s="251"/>
      <c r="POS16" s="251"/>
      <c r="POT16" s="251"/>
      <c r="POU16" s="251"/>
      <c r="POV16" s="251"/>
      <c r="POW16" s="251"/>
      <c r="POX16" s="251"/>
      <c r="POY16" s="251"/>
      <c r="POZ16" s="251"/>
      <c r="PPA16" s="251"/>
      <c r="PPB16" s="251"/>
      <c r="PPC16" s="251"/>
      <c r="PPD16" s="251"/>
      <c r="PPE16" s="251"/>
      <c r="PPF16" s="251"/>
      <c r="PPG16" s="251"/>
      <c r="PPH16" s="251"/>
      <c r="PPI16" s="251"/>
      <c r="PPJ16" s="251"/>
      <c r="PPK16" s="251"/>
      <c r="PPL16" s="251"/>
      <c r="PPM16" s="251"/>
      <c r="PPN16" s="251"/>
      <c r="PPO16" s="251"/>
      <c r="PPP16" s="251"/>
      <c r="PPQ16" s="251"/>
      <c r="PPR16" s="251"/>
      <c r="PPS16" s="251"/>
      <c r="PPT16" s="251"/>
      <c r="PPU16" s="251"/>
      <c r="PPV16" s="251"/>
      <c r="PPW16" s="251"/>
      <c r="PPX16" s="251"/>
      <c r="PPY16" s="251"/>
      <c r="PPZ16" s="251"/>
      <c r="PQA16" s="251"/>
      <c r="PQB16" s="251"/>
      <c r="PQC16" s="251"/>
      <c r="PQD16" s="251"/>
      <c r="PQE16" s="251"/>
      <c r="PQF16" s="251"/>
      <c r="PQG16" s="251"/>
      <c r="PQH16" s="251"/>
      <c r="PQI16" s="251"/>
      <c r="PQJ16" s="251"/>
      <c r="PQK16" s="251"/>
      <c r="PQL16" s="251"/>
      <c r="PQM16" s="251"/>
      <c r="PQN16" s="251"/>
      <c r="PQO16" s="251"/>
      <c r="PQP16" s="251"/>
      <c r="PQQ16" s="251"/>
      <c r="PQR16" s="251"/>
      <c r="PQS16" s="251"/>
      <c r="PQT16" s="251"/>
      <c r="PQU16" s="251"/>
      <c r="PQV16" s="251"/>
      <c r="PQW16" s="251"/>
      <c r="PQX16" s="251"/>
      <c r="PQY16" s="251"/>
      <c r="PQZ16" s="251"/>
      <c r="PRA16" s="251"/>
      <c r="PRB16" s="251"/>
      <c r="PRC16" s="251"/>
      <c r="PRD16" s="251"/>
      <c r="PRE16" s="251"/>
      <c r="PRF16" s="251"/>
      <c r="PRG16" s="251"/>
      <c r="PRH16" s="251"/>
      <c r="PRI16" s="251"/>
      <c r="PRJ16" s="251"/>
      <c r="PRK16" s="251"/>
      <c r="PRL16" s="251"/>
      <c r="PRM16" s="251"/>
      <c r="PRN16" s="251"/>
      <c r="PRO16" s="251"/>
      <c r="PRP16" s="251"/>
      <c r="PRQ16" s="251"/>
      <c r="PRR16" s="251"/>
      <c r="PRS16" s="251"/>
      <c r="PRT16" s="251"/>
      <c r="PRU16" s="251"/>
      <c r="PRV16" s="251"/>
      <c r="PRW16" s="251"/>
      <c r="PRX16" s="251"/>
      <c r="PRY16" s="251"/>
      <c r="PRZ16" s="251"/>
      <c r="PSA16" s="251"/>
      <c r="PSB16" s="251"/>
      <c r="PSC16" s="251"/>
      <c r="PSD16" s="251"/>
      <c r="PSE16" s="251"/>
      <c r="PSF16" s="251"/>
      <c r="PSG16" s="251"/>
      <c r="PSH16" s="251"/>
      <c r="PSI16" s="251"/>
      <c r="PSJ16" s="251"/>
      <c r="PSK16" s="251"/>
      <c r="PSL16" s="251"/>
      <c r="PSM16" s="251"/>
      <c r="PSN16" s="251"/>
      <c r="PSO16" s="251"/>
      <c r="PSP16" s="251"/>
      <c r="PSQ16" s="251"/>
      <c r="PSR16" s="251"/>
      <c r="PSS16" s="251"/>
      <c r="PST16" s="251"/>
      <c r="PSU16" s="251"/>
      <c r="PSV16" s="251"/>
      <c r="PSW16" s="251"/>
      <c r="PSX16" s="251"/>
      <c r="PSY16" s="251"/>
      <c r="PSZ16" s="251"/>
      <c r="PTA16" s="251"/>
      <c r="PTB16" s="251"/>
      <c r="PTC16" s="251"/>
      <c r="PTD16" s="251"/>
      <c r="PTE16" s="251"/>
      <c r="PTF16" s="251"/>
      <c r="PTG16" s="251"/>
      <c r="PTH16" s="251"/>
      <c r="PTI16" s="251"/>
      <c r="PTJ16" s="251"/>
      <c r="PTK16" s="251"/>
      <c r="PTL16" s="251"/>
      <c r="PTM16" s="251"/>
      <c r="PTN16" s="251"/>
      <c r="PTO16" s="251"/>
      <c r="PTP16" s="251"/>
      <c r="PTQ16" s="251"/>
      <c r="PTR16" s="251"/>
      <c r="PTS16" s="251"/>
      <c r="PTT16" s="251"/>
      <c r="PTU16" s="251"/>
      <c r="PTV16" s="251"/>
      <c r="PTW16" s="251"/>
      <c r="PTX16" s="251"/>
      <c r="PTY16" s="251"/>
      <c r="PTZ16" s="251"/>
      <c r="PUA16" s="251"/>
      <c r="PUB16" s="251"/>
      <c r="PUC16" s="251"/>
      <c r="PUD16" s="251"/>
      <c r="PUE16" s="251"/>
      <c r="PUF16" s="251"/>
      <c r="PUG16" s="251"/>
      <c r="PUH16" s="251"/>
      <c r="PUI16" s="251"/>
      <c r="PUJ16" s="251"/>
      <c r="PUK16" s="251"/>
      <c r="PUL16" s="251"/>
      <c r="PUM16" s="251"/>
      <c r="PUN16" s="251"/>
      <c r="PUO16" s="251"/>
      <c r="PUP16" s="251"/>
      <c r="PUQ16" s="251"/>
      <c r="PUR16" s="251"/>
      <c r="PUS16" s="251"/>
      <c r="PUT16" s="251"/>
      <c r="PUU16" s="251"/>
      <c r="PUV16" s="251"/>
      <c r="PUW16" s="251"/>
      <c r="PUX16" s="251"/>
      <c r="PUY16" s="251"/>
      <c r="PUZ16" s="251"/>
      <c r="PVA16" s="251"/>
      <c r="PVB16" s="251"/>
      <c r="PVC16" s="251"/>
      <c r="PVD16" s="251"/>
      <c r="PVE16" s="251"/>
      <c r="PVF16" s="251"/>
      <c r="PVG16" s="251"/>
      <c r="PVH16" s="251"/>
      <c r="PVI16" s="251"/>
      <c r="PVJ16" s="251"/>
      <c r="PVK16" s="251"/>
      <c r="PVL16" s="251"/>
      <c r="PVM16" s="251"/>
      <c r="PVN16" s="251"/>
      <c r="PVO16" s="251"/>
      <c r="PVP16" s="251"/>
      <c r="PVQ16" s="251"/>
      <c r="PVR16" s="251"/>
      <c r="PVS16" s="251"/>
      <c r="PVT16" s="251"/>
      <c r="PVU16" s="251"/>
      <c r="PVV16" s="251"/>
      <c r="PVW16" s="251"/>
      <c r="PVX16" s="251"/>
      <c r="PVY16" s="251"/>
      <c r="PVZ16" s="251"/>
      <c r="PWA16" s="251"/>
      <c r="PWB16" s="251"/>
      <c r="PWC16" s="251"/>
      <c r="PWD16" s="251"/>
      <c r="PWE16" s="251"/>
      <c r="PWF16" s="251"/>
      <c r="PWG16" s="251"/>
      <c r="PWH16" s="251"/>
      <c r="PWI16" s="251"/>
      <c r="PWJ16" s="251"/>
      <c r="PWK16" s="251"/>
      <c r="PWL16" s="251"/>
      <c r="PWM16" s="251"/>
      <c r="PWN16" s="251"/>
      <c r="PWO16" s="251"/>
      <c r="PWP16" s="251"/>
      <c r="PWQ16" s="251"/>
      <c r="PWR16" s="251"/>
      <c r="PWS16" s="251"/>
      <c r="PWT16" s="251"/>
      <c r="PWU16" s="251"/>
      <c r="PWV16" s="251"/>
      <c r="PWW16" s="251"/>
      <c r="PWX16" s="251"/>
      <c r="PWY16" s="251"/>
      <c r="PWZ16" s="251"/>
      <c r="PXA16" s="251"/>
      <c r="PXB16" s="251"/>
      <c r="PXC16" s="251"/>
      <c r="PXD16" s="251"/>
      <c r="PXE16" s="251"/>
      <c r="PXF16" s="251"/>
      <c r="PXG16" s="251"/>
      <c r="PXH16" s="251"/>
      <c r="PXI16" s="251"/>
      <c r="PXJ16" s="251"/>
      <c r="PXK16" s="251"/>
      <c r="PXL16" s="251"/>
      <c r="PXM16" s="251"/>
      <c r="PXN16" s="251"/>
      <c r="PXO16" s="251"/>
      <c r="PXP16" s="251"/>
      <c r="PXQ16" s="251"/>
      <c r="PXR16" s="251"/>
      <c r="PXS16" s="251"/>
      <c r="PXT16" s="251"/>
      <c r="PXU16" s="251"/>
      <c r="PXV16" s="251"/>
      <c r="PXW16" s="251"/>
      <c r="PXX16" s="251"/>
      <c r="PXY16" s="251"/>
      <c r="PXZ16" s="251"/>
      <c r="PYA16" s="251"/>
      <c r="PYB16" s="251"/>
      <c r="PYC16" s="251"/>
      <c r="PYD16" s="251"/>
      <c r="PYE16" s="251"/>
      <c r="PYF16" s="251"/>
      <c r="PYG16" s="251"/>
      <c r="PYH16" s="251"/>
      <c r="PYI16" s="251"/>
      <c r="PYJ16" s="251"/>
      <c r="PYK16" s="251"/>
      <c r="PYL16" s="251"/>
      <c r="PYM16" s="251"/>
      <c r="PYN16" s="251"/>
      <c r="PYO16" s="251"/>
      <c r="PYP16" s="251"/>
      <c r="PYQ16" s="251"/>
      <c r="PYR16" s="251"/>
      <c r="PYS16" s="251"/>
      <c r="PYT16" s="251"/>
      <c r="PYU16" s="251"/>
      <c r="PYV16" s="251"/>
      <c r="PYW16" s="251"/>
      <c r="PYX16" s="251"/>
      <c r="PYY16" s="251"/>
      <c r="PYZ16" s="251"/>
      <c r="PZA16" s="251"/>
      <c r="PZB16" s="251"/>
      <c r="PZC16" s="251"/>
      <c r="PZD16" s="251"/>
      <c r="PZE16" s="251"/>
      <c r="PZF16" s="251"/>
      <c r="PZG16" s="251"/>
      <c r="PZH16" s="251"/>
      <c r="PZI16" s="251"/>
      <c r="PZJ16" s="251"/>
      <c r="PZK16" s="251"/>
      <c r="PZL16" s="251"/>
      <c r="PZM16" s="251"/>
      <c r="PZN16" s="251"/>
      <c r="PZO16" s="251"/>
      <c r="PZP16" s="251"/>
      <c r="PZQ16" s="251"/>
      <c r="PZR16" s="251"/>
      <c r="PZS16" s="251"/>
      <c r="PZT16" s="251"/>
      <c r="PZU16" s="251"/>
      <c r="PZV16" s="251"/>
      <c r="PZW16" s="251"/>
      <c r="PZX16" s="251"/>
      <c r="PZY16" s="251"/>
      <c r="PZZ16" s="251"/>
      <c r="QAA16" s="251"/>
      <c r="QAB16" s="251"/>
      <c r="QAC16" s="251"/>
      <c r="QAD16" s="251"/>
      <c r="QAE16" s="251"/>
      <c r="QAF16" s="251"/>
      <c r="QAG16" s="251"/>
      <c r="QAH16" s="251"/>
      <c r="QAI16" s="251"/>
      <c r="QAJ16" s="251"/>
      <c r="QAK16" s="251"/>
      <c r="QAL16" s="251"/>
      <c r="QAM16" s="251"/>
      <c r="QAN16" s="251"/>
      <c r="QAO16" s="251"/>
      <c r="QAP16" s="251"/>
      <c r="QAQ16" s="251"/>
      <c r="QAR16" s="251"/>
      <c r="QAS16" s="251"/>
      <c r="QAT16" s="251"/>
      <c r="QAU16" s="251"/>
      <c r="QAV16" s="251"/>
      <c r="QAW16" s="251"/>
      <c r="QAX16" s="251"/>
      <c r="QAY16" s="251"/>
      <c r="QAZ16" s="251"/>
      <c r="QBA16" s="251"/>
      <c r="QBB16" s="251"/>
      <c r="QBC16" s="251"/>
      <c r="QBD16" s="251"/>
      <c r="QBE16" s="251"/>
      <c r="QBF16" s="251"/>
      <c r="QBG16" s="251"/>
      <c r="QBH16" s="251"/>
      <c r="QBI16" s="251"/>
      <c r="QBJ16" s="251"/>
      <c r="QBK16" s="251"/>
      <c r="QBL16" s="251"/>
      <c r="QBM16" s="251"/>
      <c r="QBN16" s="251"/>
      <c r="QBO16" s="251"/>
      <c r="QBP16" s="251"/>
      <c r="QBQ16" s="251"/>
      <c r="QBR16" s="251"/>
      <c r="QBS16" s="251"/>
      <c r="QBT16" s="251"/>
      <c r="QBU16" s="251"/>
      <c r="QBV16" s="251"/>
      <c r="QBW16" s="251"/>
      <c r="QBX16" s="251"/>
      <c r="QBY16" s="251"/>
      <c r="QBZ16" s="251"/>
      <c r="QCA16" s="251"/>
      <c r="QCB16" s="251"/>
      <c r="QCC16" s="251"/>
      <c r="QCD16" s="251"/>
      <c r="QCE16" s="251"/>
      <c r="QCF16" s="251"/>
      <c r="QCG16" s="251"/>
      <c r="QCH16" s="251"/>
      <c r="QCI16" s="251"/>
      <c r="QCJ16" s="251"/>
      <c r="QCK16" s="251"/>
      <c r="QCL16" s="251"/>
      <c r="QCM16" s="251"/>
      <c r="QCN16" s="251"/>
      <c r="QCO16" s="251"/>
      <c r="QCP16" s="251"/>
      <c r="QCQ16" s="251"/>
      <c r="QCR16" s="251"/>
      <c r="QCS16" s="251"/>
      <c r="QCT16" s="251"/>
      <c r="QCU16" s="251"/>
      <c r="QCV16" s="251"/>
      <c r="QCW16" s="251"/>
      <c r="QCX16" s="251"/>
      <c r="QCY16" s="251"/>
      <c r="QCZ16" s="251"/>
      <c r="QDA16" s="251"/>
      <c r="QDB16" s="251"/>
      <c r="QDC16" s="251"/>
      <c r="QDD16" s="251"/>
      <c r="QDE16" s="251"/>
      <c r="QDF16" s="251"/>
      <c r="QDG16" s="251"/>
      <c r="QDH16" s="251"/>
      <c r="QDI16" s="251"/>
      <c r="QDJ16" s="251"/>
      <c r="QDK16" s="251"/>
      <c r="QDL16" s="251"/>
      <c r="QDM16" s="251"/>
      <c r="QDN16" s="251"/>
      <c r="QDO16" s="251"/>
      <c r="QDP16" s="251"/>
      <c r="QDQ16" s="251"/>
      <c r="QDR16" s="251"/>
      <c r="QDS16" s="251"/>
      <c r="QDT16" s="251"/>
      <c r="QDU16" s="251"/>
      <c r="QDV16" s="251"/>
      <c r="QDW16" s="251"/>
      <c r="QDX16" s="251"/>
      <c r="QDY16" s="251"/>
      <c r="QDZ16" s="251"/>
      <c r="QEA16" s="251"/>
      <c r="QEB16" s="251"/>
      <c r="QEC16" s="251"/>
      <c r="QED16" s="251"/>
      <c r="QEE16" s="251"/>
      <c r="QEF16" s="251"/>
      <c r="QEG16" s="251"/>
      <c r="QEH16" s="251"/>
      <c r="QEI16" s="251"/>
      <c r="QEJ16" s="251"/>
      <c r="QEK16" s="251"/>
      <c r="QEL16" s="251"/>
      <c r="QEM16" s="251"/>
      <c r="QEN16" s="251"/>
      <c r="QEO16" s="251"/>
      <c r="QEP16" s="251"/>
      <c r="QEQ16" s="251"/>
      <c r="QER16" s="251"/>
      <c r="QES16" s="251"/>
      <c r="QET16" s="251"/>
      <c r="QEU16" s="251"/>
      <c r="QEV16" s="251"/>
      <c r="QEW16" s="251"/>
      <c r="QEX16" s="251"/>
      <c r="QEY16" s="251"/>
      <c r="QEZ16" s="251"/>
      <c r="QFA16" s="251"/>
      <c r="QFB16" s="251"/>
      <c r="QFC16" s="251"/>
      <c r="QFD16" s="251"/>
      <c r="QFE16" s="251"/>
      <c r="QFF16" s="251"/>
      <c r="QFG16" s="251"/>
      <c r="QFH16" s="251"/>
      <c r="QFI16" s="251"/>
      <c r="QFJ16" s="251"/>
      <c r="QFK16" s="251"/>
      <c r="QFL16" s="251"/>
      <c r="QFM16" s="251"/>
      <c r="QFN16" s="251"/>
      <c r="QFO16" s="251"/>
      <c r="QFP16" s="251"/>
      <c r="QFQ16" s="251"/>
      <c r="QFR16" s="251"/>
      <c r="QFS16" s="251"/>
      <c r="QFT16" s="251"/>
      <c r="QFU16" s="251"/>
      <c r="QFV16" s="251"/>
      <c r="QFW16" s="251"/>
      <c r="QFX16" s="251"/>
      <c r="QFY16" s="251"/>
      <c r="QFZ16" s="251"/>
      <c r="QGA16" s="251"/>
      <c r="QGB16" s="251"/>
      <c r="QGC16" s="251"/>
      <c r="QGD16" s="251"/>
      <c r="QGE16" s="251"/>
      <c r="QGF16" s="251"/>
      <c r="QGG16" s="251"/>
      <c r="QGH16" s="251"/>
      <c r="QGI16" s="251"/>
      <c r="QGJ16" s="251"/>
      <c r="QGK16" s="251"/>
      <c r="QGL16" s="251"/>
      <c r="QGM16" s="251"/>
      <c r="QGN16" s="251"/>
      <c r="QGO16" s="251"/>
      <c r="QGP16" s="251"/>
      <c r="QGQ16" s="251"/>
      <c r="QGR16" s="251"/>
      <c r="QGS16" s="251"/>
      <c r="QGT16" s="251"/>
      <c r="QGU16" s="251"/>
      <c r="QGV16" s="251"/>
      <c r="QGW16" s="251"/>
      <c r="QGX16" s="251"/>
      <c r="QGY16" s="251"/>
      <c r="QGZ16" s="251"/>
      <c r="QHA16" s="251"/>
      <c r="QHB16" s="251"/>
      <c r="QHC16" s="251"/>
      <c r="QHD16" s="251"/>
      <c r="QHE16" s="251"/>
      <c r="QHF16" s="251"/>
      <c r="QHG16" s="251"/>
      <c r="QHH16" s="251"/>
      <c r="QHI16" s="251"/>
      <c r="QHJ16" s="251"/>
      <c r="QHK16" s="251"/>
      <c r="QHL16" s="251"/>
      <c r="QHM16" s="251"/>
      <c r="QHN16" s="251"/>
      <c r="QHO16" s="251"/>
      <c r="QHP16" s="251"/>
      <c r="QHQ16" s="251"/>
      <c r="QHR16" s="251"/>
      <c r="QHS16" s="251"/>
      <c r="QHT16" s="251"/>
      <c r="QHU16" s="251"/>
      <c r="QHV16" s="251"/>
      <c r="QHW16" s="251"/>
      <c r="QHX16" s="251"/>
      <c r="QHY16" s="251"/>
      <c r="QHZ16" s="251"/>
      <c r="QIA16" s="251"/>
      <c r="QIB16" s="251"/>
      <c r="QIC16" s="251"/>
      <c r="QID16" s="251"/>
      <c r="QIE16" s="251"/>
      <c r="QIF16" s="251"/>
      <c r="QIG16" s="251"/>
      <c r="QIH16" s="251"/>
      <c r="QII16" s="251"/>
      <c r="QIJ16" s="251"/>
      <c r="QIK16" s="251"/>
      <c r="QIL16" s="251"/>
      <c r="QIM16" s="251"/>
      <c r="QIN16" s="251"/>
      <c r="QIO16" s="251"/>
      <c r="QIP16" s="251"/>
      <c r="QIQ16" s="251"/>
      <c r="QIR16" s="251"/>
      <c r="QIS16" s="251"/>
      <c r="QIT16" s="251"/>
      <c r="QIU16" s="251"/>
      <c r="QIV16" s="251"/>
      <c r="QIW16" s="251"/>
      <c r="QIX16" s="251"/>
      <c r="QIY16" s="251"/>
      <c r="QIZ16" s="251"/>
      <c r="QJA16" s="251"/>
      <c r="QJB16" s="251"/>
      <c r="QJC16" s="251"/>
      <c r="QJD16" s="251"/>
      <c r="QJE16" s="251"/>
      <c r="QJF16" s="251"/>
      <c r="QJG16" s="251"/>
      <c r="QJH16" s="251"/>
      <c r="QJI16" s="251"/>
      <c r="QJJ16" s="251"/>
      <c r="QJK16" s="251"/>
      <c r="QJL16" s="251"/>
      <c r="QJM16" s="251"/>
      <c r="QJN16" s="251"/>
      <c r="QJO16" s="251"/>
      <c r="QJP16" s="251"/>
      <c r="QJQ16" s="251"/>
      <c r="QJR16" s="251"/>
      <c r="QJS16" s="251"/>
      <c r="QJT16" s="251"/>
      <c r="QJU16" s="251"/>
      <c r="QJV16" s="251"/>
      <c r="QJW16" s="251"/>
      <c r="QJX16" s="251"/>
      <c r="QJY16" s="251"/>
      <c r="QJZ16" s="251"/>
      <c r="QKA16" s="251"/>
      <c r="QKB16" s="251"/>
      <c r="QKC16" s="251"/>
      <c r="QKD16" s="251"/>
      <c r="QKE16" s="251"/>
      <c r="QKF16" s="251"/>
      <c r="QKG16" s="251"/>
      <c r="QKH16" s="251"/>
      <c r="QKI16" s="251"/>
      <c r="QKJ16" s="251"/>
      <c r="QKK16" s="251"/>
      <c r="QKL16" s="251"/>
      <c r="QKM16" s="251"/>
      <c r="QKN16" s="251"/>
      <c r="QKO16" s="251"/>
      <c r="QKP16" s="251"/>
      <c r="QKQ16" s="251"/>
      <c r="QKR16" s="251"/>
      <c r="QKS16" s="251"/>
      <c r="QKT16" s="251"/>
      <c r="QKU16" s="251"/>
      <c r="QKV16" s="251"/>
      <c r="QKW16" s="251"/>
      <c r="QKX16" s="251"/>
      <c r="QKY16" s="251"/>
      <c r="QKZ16" s="251"/>
      <c r="QLA16" s="251"/>
      <c r="QLB16" s="251"/>
      <c r="QLC16" s="251"/>
      <c r="QLD16" s="251"/>
      <c r="QLE16" s="251"/>
      <c r="QLF16" s="251"/>
      <c r="QLG16" s="251"/>
      <c r="QLH16" s="251"/>
      <c r="QLI16" s="251"/>
      <c r="QLJ16" s="251"/>
      <c r="QLK16" s="251"/>
      <c r="QLL16" s="251"/>
      <c r="QLM16" s="251"/>
      <c r="QLN16" s="251"/>
      <c r="QLO16" s="251"/>
      <c r="QLP16" s="251"/>
      <c r="QLQ16" s="251"/>
      <c r="QLR16" s="251"/>
      <c r="QLS16" s="251"/>
      <c r="QLT16" s="251"/>
      <c r="QLU16" s="251"/>
      <c r="QLV16" s="251"/>
      <c r="QLW16" s="251"/>
      <c r="QLX16" s="251"/>
      <c r="QLY16" s="251"/>
      <c r="QLZ16" s="251"/>
      <c r="QMA16" s="251"/>
      <c r="QMB16" s="251"/>
      <c r="QMC16" s="251"/>
      <c r="QMD16" s="251"/>
      <c r="QME16" s="251"/>
      <c r="QMF16" s="251"/>
      <c r="QMG16" s="251"/>
      <c r="QMH16" s="251"/>
      <c r="QMI16" s="251"/>
      <c r="QMJ16" s="251"/>
      <c r="QMK16" s="251"/>
      <c r="QML16" s="251"/>
      <c r="QMM16" s="251"/>
      <c r="QMN16" s="251"/>
      <c r="QMO16" s="251"/>
      <c r="QMP16" s="251"/>
      <c r="QMQ16" s="251"/>
      <c r="QMR16" s="251"/>
      <c r="QMS16" s="251"/>
      <c r="QMT16" s="251"/>
      <c r="QMU16" s="251"/>
      <c r="QMV16" s="251"/>
      <c r="QMW16" s="251"/>
      <c r="QMX16" s="251"/>
      <c r="QMY16" s="251"/>
      <c r="QMZ16" s="251"/>
      <c r="QNA16" s="251"/>
      <c r="QNB16" s="251"/>
      <c r="QNC16" s="251"/>
      <c r="QND16" s="251"/>
      <c r="QNE16" s="251"/>
      <c r="QNF16" s="251"/>
      <c r="QNG16" s="251"/>
      <c r="QNH16" s="251"/>
      <c r="QNI16" s="251"/>
      <c r="QNJ16" s="251"/>
      <c r="QNK16" s="251"/>
      <c r="QNL16" s="251"/>
      <c r="QNM16" s="251"/>
      <c r="QNN16" s="251"/>
      <c r="QNO16" s="251"/>
      <c r="QNP16" s="251"/>
      <c r="QNQ16" s="251"/>
      <c r="QNR16" s="251"/>
      <c r="QNS16" s="251"/>
      <c r="QNT16" s="251"/>
      <c r="QNU16" s="251"/>
      <c r="QNV16" s="251"/>
      <c r="QNW16" s="251"/>
      <c r="QNX16" s="251"/>
      <c r="QNY16" s="251"/>
      <c r="QNZ16" s="251"/>
      <c r="QOA16" s="251"/>
      <c r="QOB16" s="251"/>
      <c r="QOC16" s="251"/>
      <c r="QOD16" s="251"/>
      <c r="QOE16" s="251"/>
      <c r="QOF16" s="251"/>
      <c r="QOG16" s="251"/>
      <c r="QOH16" s="251"/>
      <c r="QOI16" s="251"/>
      <c r="QOJ16" s="251"/>
      <c r="QOK16" s="251"/>
      <c r="QOL16" s="251"/>
      <c r="QOM16" s="251"/>
      <c r="QON16" s="251"/>
      <c r="QOO16" s="251"/>
      <c r="QOP16" s="251"/>
      <c r="QOQ16" s="251"/>
      <c r="QOR16" s="251"/>
      <c r="QOS16" s="251"/>
      <c r="QOT16" s="251"/>
      <c r="QOU16" s="251"/>
      <c r="QOV16" s="251"/>
      <c r="QOW16" s="251"/>
      <c r="QOX16" s="251"/>
      <c r="QOY16" s="251"/>
      <c r="QOZ16" s="251"/>
      <c r="QPA16" s="251"/>
      <c r="QPB16" s="251"/>
      <c r="QPC16" s="251"/>
      <c r="QPD16" s="251"/>
      <c r="QPE16" s="251"/>
      <c r="QPF16" s="251"/>
      <c r="QPG16" s="251"/>
      <c r="QPH16" s="251"/>
      <c r="QPI16" s="251"/>
      <c r="QPJ16" s="251"/>
      <c r="QPK16" s="251"/>
      <c r="QPL16" s="251"/>
      <c r="QPM16" s="251"/>
      <c r="QPN16" s="251"/>
      <c r="QPO16" s="251"/>
      <c r="QPP16" s="251"/>
      <c r="QPQ16" s="251"/>
      <c r="QPR16" s="251"/>
      <c r="QPS16" s="251"/>
      <c r="QPT16" s="251"/>
      <c r="QPU16" s="251"/>
      <c r="QPV16" s="251"/>
      <c r="QPW16" s="251"/>
      <c r="QPX16" s="251"/>
      <c r="QPY16" s="251"/>
      <c r="QPZ16" s="251"/>
      <c r="QQA16" s="251"/>
      <c r="QQB16" s="251"/>
      <c r="QQC16" s="251"/>
      <c r="QQD16" s="251"/>
      <c r="QQE16" s="251"/>
      <c r="QQF16" s="251"/>
      <c r="QQG16" s="251"/>
      <c r="QQH16" s="251"/>
      <c r="QQI16" s="251"/>
      <c r="QQJ16" s="251"/>
      <c r="QQK16" s="251"/>
      <c r="QQL16" s="251"/>
      <c r="QQM16" s="251"/>
      <c r="QQN16" s="251"/>
      <c r="QQO16" s="251"/>
      <c r="QQP16" s="251"/>
      <c r="QQQ16" s="251"/>
      <c r="QQR16" s="251"/>
      <c r="QQS16" s="251"/>
      <c r="QQT16" s="251"/>
      <c r="QQU16" s="251"/>
      <c r="QQV16" s="251"/>
      <c r="QQW16" s="251"/>
      <c r="QQX16" s="251"/>
      <c r="QQY16" s="251"/>
      <c r="QQZ16" s="251"/>
      <c r="QRA16" s="251"/>
      <c r="QRB16" s="251"/>
      <c r="QRC16" s="251"/>
      <c r="QRD16" s="251"/>
      <c r="QRE16" s="251"/>
      <c r="QRF16" s="251"/>
      <c r="QRG16" s="251"/>
      <c r="QRH16" s="251"/>
      <c r="QRI16" s="251"/>
      <c r="QRJ16" s="251"/>
      <c r="QRK16" s="251"/>
      <c r="QRL16" s="251"/>
      <c r="QRM16" s="251"/>
      <c r="QRN16" s="251"/>
      <c r="QRO16" s="251"/>
      <c r="QRP16" s="251"/>
      <c r="QRQ16" s="251"/>
      <c r="QRR16" s="251"/>
      <c r="QRS16" s="251"/>
      <c r="QRT16" s="251"/>
      <c r="QRU16" s="251"/>
      <c r="QRV16" s="251"/>
      <c r="QRW16" s="251"/>
      <c r="QRX16" s="251"/>
      <c r="QRY16" s="251"/>
      <c r="QRZ16" s="251"/>
      <c r="QSA16" s="251"/>
      <c r="QSB16" s="251"/>
      <c r="QSC16" s="251"/>
      <c r="QSD16" s="251"/>
      <c r="QSE16" s="251"/>
      <c r="QSF16" s="251"/>
      <c r="QSG16" s="251"/>
      <c r="QSH16" s="251"/>
      <c r="QSI16" s="251"/>
      <c r="QSJ16" s="251"/>
      <c r="QSK16" s="251"/>
      <c r="QSL16" s="251"/>
      <c r="QSM16" s="251"/>
      <c r="QSN16" s="251"/>
      <c r="QSO16" s="251"/>
      <c r="QSP16" s="251"/>
      <c r="QSQ16" s="251"/>
      <c r="QSR16" s="251"/>
      <c r="QSS16" s="251"/>
      <c r="QST16" s="251"/>
      <c r="QSU16" s="251"/>
      <c r="QSV16" s="251"/>
      <c r="QSW16" s="251"/>
      <c r="QSX16" s="251"/>
      <c r="QSY16" s="251"/>
      <c r="QSZ16" s="251"/>
      <c r="QTA16" s="251"/>
      <c r="QTB16" s="251"/>
      <c r="QTC16" s="251"/>
      <c r="QTD16" s="251"/>
      <c r="QTE16" s="251"/>
      <c r="QTF16" s="251"/>
      <c r="QTG16" s="251"/>
      <c r="QTH16" s="251"/>
      <c r="QTI16" s="251"/>
      <c r="QTJ16" s="251"/>
      <c r="QTK16" s="251"/>
      <c r="QTL16" s="251"/>
      <c r="QTM16" s="251"/>
      <c r="QTN16" s="251"/>
      <c r="QTO16" s="251"/>
      <c r="QTP16" s="251"/>
      <c r="QTQ16" s="251"/>
      <c r="QTR16" s="251"/>
      <c r="QTS16" s="251"/>
      <c r="QTT16" s="251"/>
      <c r="QTU16" s="251"/>
      <c r="QTV16" s="251"/>
      <c r="QTW16" s="251"/>
      <c r="QTX16" s="251"/>
      <c r="QTY16" s="251"/>
      <c r="QTZ16" s="251"/>
      <c r="QUA16" s="251"/>
      <c r="QUB16" s="251"/>
      <c r="QUC16" s="251"/>
      <c r="QUD16" s="251"/>
      <c r="QUE16" s="251"/>
      <c r="QUF16" s="251"/>
      <c r="QUG16" s="251"/>
      <c r="QUH16" s="251"/>
      <c r="QUI16" s="251"/>
      <c r="QUJ16" s="251"/>
      <c r="QUK16" s="251"/>
      <c r="QUL16" s="251"/>
      <c r="QUM16" s="251"/>
      <c r="QUN16" s="251"/>
      <c r="QUO16" s="251"/>
      <c r="QUP16" s="251"/>
      <c r="QUQ16" s="251"/>
      <c r="QUR16" s="251"/>
      <c r="QUS16" s="251"/>
      <c r="QUT16" s="251"/>
      <c r="QUU16" s="251"/>
      <c r="QUV16" s="251"/>
      <c r="QUW16" s="251"/>
      <c r="QUX16" s="251"/>
      <c r="QUY16" s="251"/>
      <c r="QUZ16" s="251"/>
      <c r="QVA16" s="251"/>
      <c r="QVB16" s="251"/>
      <c r="QVC16" s="251"/>
      <c r="QVD16" s="251"/>
      <c r="QVE16" s="251"/>
      <c r="QVF16" s="251"/>
      <c r="QVG16" s="251"/>
      <c r="QVH16" s="251"/>
      <c r="QVI16" s="251"/>
      <c r="QVJ16" s="251"/>
      <c r="QVK16" s="251"/>
      <c r="QVL16" s="251"/>
      <c r="QVM16" s="251"/>
      <c r="QVN16" s="251"/>
      <c r="QVO16" s="251"/>
      <c r="QVP16" s="251"/>
      <c r="QVQ16" s="251"/>
      <c r="QVR16" s="251"/>
      <c r="QVS16" s="251"/>
      <c r="QVT16" s="251"/>
      <c r="QVU16" s="251"/>
      <c r="QVV16" s="251"/>
      <c r="QVW16" s="251"/>
      <c r="QVX16" s="251"/>
      <c r="QVY16" s="251"/>
      <c r="QVZ16" s="251"/>
      <c r="QWA16" s="251"/>
      <c r="QWB16" s="251"/>
      <c r="QWC16" s="251"/>
      <c r="QWD16" s="251"/>
      <c r="QWE16" s="251"/>
      <c r="QWF16" s="251"/>
      <c r="QWG16" s="251"/>
      <c r="QWH16" s="251"/>
      <c r="QWI16" s="251"/>
      <c r="QWJ16" s="251"/>
      <c r="QWK16" s="251"/>
      <c r="QWL16" s="251"/>
      <c r="QWM16" s="251"/>
      <c r="QWN16" s="251"/>
      <c r="QWO16" s="251"/>
      <c r="QWP16" s="251"/>
      <c r="QWQ16" s="251"/>
      <c r="QWR16" s="251"/>
      <c r="QWS16" s="251"/>
      <c r="QWT16" s="251"/>
      <c r="QWU16" s="251"/>
      <c r="QWV16" s="251"/>
      <c r="QWW16" s="251"/>
      <c r="QWX16" s="251"/>
      <c r="QWY16" s="251"/>
      <c r="QWZ16" s="251"/>
      <c r="QXA16" s="251"/>
      <c r="QXB16" s="251"/>
      <c r="QXC16" s="251"/>
      <c r="QXD16" s="251"/>
      <c r="QXE16" s="251"/>
      <c r="QXF16" s="251"/>
      <c r="QXG16" s="251"/>
      <c r="QXH16" s="251"/>
      <c r="QXI16" s="251"/>
      <c r="QXJ16" s="251"/>
      <c r="QXK16" s="251"/>
      <c r="QXL16" s="251"/>
      <c r="QXM16" s="251"/>
      <c r="QXN16" s="251"/>
      <c r="QXO16" s="251"/>
      <c r="QXP16" s="251"/>
      <c r="QXQ16" s="251"/>
      <c r="QXR16" s="251"/>
      <c r="QXS16" s="251"/>
      <c r="QXT16" s="251"/>
      <c r="QXU16" s="251"/>
      <c r="QXV16" s="251"/>
      <c r="QXW16" s="251"/>
      <c r="QXX16" s="251"/>
      <c r="QXY16" s="251"/>
      <c r="QXZ16" s="251"/>
      <c r="QYA16" s="251"/>
      <c r="QYB16" s="251"/>
      <c r="QYC16" s="251"/>
      <c r="QYD16" s="251"/>
      <c r="QYE16" s="251"/>
      <c r="QYF16" s="251"/>
      <c r="QYG16" s="251"/>
      <c r="QYH16" s="251"/>
      <c r="QYI16" s="251"/>
      <c r="QYJ16" s="251"/>
      <c r="QYK16" s="251"/>
      <c r="QYL16" s="251"/>
      <c r="QYM16" s="251"/>
      <c r="QYN16" s="251"/>
      <c r="QYO16" s="251"/>
      <c r="QYP16" s="251"/>
      <c r="QYQ16" s="251"/>
      <c r="QYR16" s="251"/>
      <c r="QYS16" s="251"/>
      <c r="QYT16" s="251"/>
      <c r="QYU16" s="251"/>
      <c r="QYV16" s="251"/>
      <c r="QYW16" s="251"/>
      <c r="QYX16" s="251"/>
      <c r="QYY16" s="251"/>
      <c r="QYZ16" s="251"/>
      <c r="QZA16" s="251"/>
      <c r="QZB16" s="251"/>
      <c r="QZC16" s="251"/>
      <c r="QZD16" s="251"/>
      <c r="QZE16" s="251"/>
      <c r="QZF16" s="251"/>
      <c r="QZG16" s="251"/>
      <c r="QZH16" s="251"/>
      <c r="QZI16" s="251"/>
      <c r="QZJ16" s="251"/>
      <c r="QZK16" s="251"/>
      <c r="QZL16" s="251"/>
      <c r="QZM16" s="251"/>
      <c r="QZN16" s="251"/>
      <c r="QZO16" s="251"/>
      <c r="QZP16" s="251"/>
      <c r="QZQ16" s="251"/>
      <c r="QZR16" s="251"/>
      <c r="QZS16" s="251"/>
      <c r="QZT16" s="251"/>
      <c r="QZU16" s="251"/>
      <c r="QZV16" s="251"/>
      <c r="QZW16" s="251"/>
      <c r="QZX16" s="251"/>
      <c r="QZY16" s="251"/>
      <c r="QZZ16" s="251"/>
      <c r="RAA16" s="251"/>
      <c r="RAB16" s="251"/>
      <c r="RAC16" s="251"/>
      <c r="RAD16" s="251"/>
      <c r="RAE16" s="251"/>
      <c r="RAF16" s="251"/>
      <c r="RAG16" s="251"/>
      <c r="RAH16" s="251"/>
      <c r="RAI16" s="251"/>
      <c r="RAJ16" s="251"/>
      <c r="RAK16" s="251"/>
      <c r="RAL16" s="251"/>
      <c r="RAM16" s="251"/>
      <c r="RAN16" s="251"/>
      <c r="RAO16" s="251"/>
      <c r="RAP16" s="251"/>
      <c r="RAQ16" s="251"/>
      <c r="RAR16" s="251"/>
      <c r="RAS16" s="251"/>
      <c r="RAT16" s="251"/>
      <c r="RAU16" s="251"/>
      <c r="RAV16" s="251"/>
      <c r="RAW16" s="251"/>
      <c r="RAX16" s="251"/>
      <c r="RAY16" s="251"/>
      <c r="RAZ16" s="251"/>
      <c r="RBA16" s="251"/>
      <c r="RBB16" s="251"/>
      <c r="RBC16" s="251"/>
      <c r="RBD16" s="251"/>
      <c r="RBE16" s="251"/>
      <c r="RBF16" s="251"/>
      <c r="RBG16" s="251"/>
      <c r="RBH16" s="251"/>
      <c r="RBI16" s="251"/>
      <c r="RBJ16" s="251"/>
      <c r="RBK16" s="251"/>
      <c r="RBL16" s="251"/>
      <c r="RBM16" s="251"/>
      <c r="RBN16" s="251"/>
      <c r="RBO16" s="251"/>
      <c r="RBP16" s="251"/>
      <c r="RBQ16" s="251"/>
      <c r="RBR16" s="251"/>
      <c r="RBS16" s="251"/>
      <c r="RBT16" s="251"/>
      <c r="RBU16" s="251"/>
      <c r="RBV16" s="251"/>
      <c r="RBW16" s="251"/>
      <c r="RBX16" s="251"/>
      <c r="RBY16" s="251"/>
      <c r="RBZ16" s="251"/>
      <c r="RCA16" s="251"/>
      <c r="RCB16" s="251"/>
      <c r="RCC16" s="251"/>
      <c r="RCD16" s="251"/>
      <c r="RCE16" s="251"/>
      <c r="RCF16" s="251"/>
      <c r="RCG16" s="251"/>
      <c r="RCH16" s="251"/>
      <c r="RCI16" s="251"/>
      <c r="RCJ16" s="251"/>
      <c r="RCK16" s="251"/>
      <c r="RCL16" s="251"/>
      <c r="RCM16" s="251"/>
      <c r="RCN16" s="251"/>
      <c r="RCO16" s="251"/>
      <c r="RCP16" s="251"/>
      <c r="RCQ16" s="251"/>
      <c r="RCR16" s="251"/>
      <c r="RCS16" s="251"/>
      <c r="RCT16" s="251"/>
      <c r="RCU16" s="251"/>
      <c r="RCV16" s="251"/>
      <c r="RCW16" s="251"/>
      <c r="RCX16" s="251"/>
      <c r="RCY16" s="251"/>
      <c r="RCZ16" s="251"/>
      <c r="RDA16" s="251"/>
      <c r="RDB16" s="251"/>
      <c r="RDC16" s="251"/>
      <c r="RDD16" s="251"/>
      <c r="RDE16" s="251"/>
      <c r="RDF16" s="251"/>
      <c r="RDG16" s="251"/>
      <c r="RDH16" s="251"/>
      <c r="RDI16" s="251"/>
      <c r="RDJ16" s="251"/>
      <c r="RDK16" s="251"/>
      <c r="RDL16" s="251"/>
      <c r="RDM16" s="251"/>
      <c r="RDN16" s="251"/>
      <c r="RDO16" s="251"/>
      <c r="RDP16" s="251"/>
      <c r="RDQ16" s="251"/>
      <c r="RDR16" s="251"/>
      <c r="RDS16" s="251"/>
      <c r="RDT16" s="251"/>
      <c r="RDU16" s="251"/>
      <c r="RDV16" s="251"/>
      <c r="RDW16" s="251"/>
      <c r="RDX16" s="251"/>
      <c r="RDY16" s="251"/>
      <c r="RDZ16" s="251"/>
      <c r="REA16" s="251"/>
      <c r="REB16" s="251"/>
      <c r="REC16" s="251"/>
      <c r="RED16" s="251"/>
      <c r="REE16" s="251"/>
      <c r="REF16" s="251"/>
      <c r="REG16" s="251"/>
      <c r="REH16" s="251"/>
      <c r="REI16" s="251"/>
      <c r="REJ16" s="251"/>
      <c r="REK16" s="251"/>
      <c r="REL16" s="251"/>
      <c r="REM16" s="251"/>
      <c r="REN16" s="251"/>
      <c r="REO16" s="251"/>
      <c r="REP16" s="251"/>
      <c r="REQ16" s="251"/>
      <c r="RER16" s="251"/>
      <c r="RES16" s="251"/>
      <c r="RET16" s="251"/>
      <c r="REU16" s="251"/>
      <c r="REV16" s="251"/>
      <c r="REW16" s="251"/>
      <c r="REX16" s="251"/>
      <c r="REY16" s="251"/>
      <c r="REZ16" s="251"/>
      <c r="RFA16" s="251"/>
      <c r="RFB16" s="251"/>
      <c r="RFC16" s="251"/>
      <c r="RFD16" s="251"/>
      <c r="RFE16" s="251"/>
      <c r="RFF16" s="251"/>
      <c r="RFG16" s="251"/>
      <c r="RFH16" s="251"/>
      <c r="RFI16" s="251"/>
      <c r="RFJ16" s="251"/>
      <c r="RFK16" s="251"/>
      <c r="RFL16" s="251"/>
      <c r="RFM16" s="251"/>
      <c r="RFN16" s="251"/>
      <c r="RFO16" s="251"/>
      <c r="RFP16" s="251"/>
      <c r="RFQ16" s="251"/>
      <c r="RFR16" s="251"/>
      <c r="RFS16" s="251"/>
      <c r="RFT16" s="251"/>
      <c r="RFU16" s="251"/>
      <c r="RFV16" s="251"/>
      <c r="RFW16" s="251"/>
      <c r="RFX16" s="251"/>
      <c r="RFY16" s="251"/>
      <c r="RFZ16" s="251"/>
      <c r="RGA16" s="251"/>
      <c r="RGB16" s="251"/>
      <c r="RGC16" s="251"/>
      <c r="RGD16" s="251"/>
      <c r="RGE16" s="251"/>
      <c r="RGF16" s="251"/>
      <c r="RGG16" s="251"/>
      <c r="RGH16" s="251"/>
      <c r="RGI16" s="251"/>
      <c r="RGJ16" s="251"/>
      <c r="RGK16" s="251"/>
      <c r="RGL16" s="251"/>
      <c r="RGM16" s="251"/>
      <c r="RGN16" s="251"/>
      <c r="RGO16" s="251"/>
      <c r="RGP16" s="251"/>
      <c r="RGQ16" s="251"/>
      <c r="RGR16" s="251"/>
      <c r="RGS16" s="251"/>
      <c r="RGT16" s="251"/>
      <c r="RGU16" s="251"/>
      <c r="RGV16" s="251"/>
      <c r="RGW16" s="251"/>
      <c r="RGX16" s="251"/>
      <c r="RGY16" s="251"/>
      <c r="RGZ16" s="251"/>
      <c r="RHA16" s="251"/>
      <c r="RHB16" s="251"/>
      <c r="RHC16" s="251"/>
      <c r="RHD16" s="251"/>
      <c r="RHE16" s="251"/>
      <c r="RHF16" s="251"/>
      <c r="RHG16" s="251"/>
      <c r="RHH16" s="251"/>
      <c r="RHI16" s="251"/>
      <c r="RHJ16" s="251"/>
      <c r="RHK16" s="251"/>
      <c r="RHL16" s="251"/>
      <c r="RHM16" s="251"/>
      <c r="RHN16" s="251"/>
      <c r="RHO16" s="251"/>
      <c r="RHP16" s="251"/>
      <c r="RHQ16" s="251"/>
      <c r="RHR16" s="251"/>
      <c r="RHS16" s="251"/>
      <c r="RHT16" s="251"/>
      <c r="RHU16" s="251"/>
      <c r="RHV16" s="251"/>
      <c r="RHW16" s="251"/>
      <c r="RHX16" s="251"/>
      <c r="RHY16" s="251"/>
      <c r="RHZ16" s="251"/>
      <c r="RIA16" s="251"/>
      <c r="RIB16" s="251"/>
      <c r="RIC16" s="251"/>
      <c r="RID16" s="251"/>
      <c r="RIE16" s="251"/>
      <c r="RIF16" s="251"/>
      <c r="RIG16" s="251"/>
      <c r="RIH16" s="251"/>
      <c r="RII16" s="251"/>
      <c r="RIJ16" s="251"/>
      <c r="RIK16" s="251"/>
      <c r="RIL16" s="251"/>
      <c r="RIM16" s="251"/>
      <c r="RIN16" s="251"/>
      <c r="RIO16" s="251"/>
      <c r="RIP16" s="251"/>
      <c r="RIQ16" s="251"/>
      <c r="RIR16" s="251"/>
      <c r="RIS16" s="251"/>
      <c r="RIT16" s="251"/>
      <c r="RIU16" s="251"/>
      <c r="RIV16" s="251"/>
      <c r="RIW16" s="251"/>
      <c r="RIX16" s="251"/>
      <c r="RIY16" s="251"/>
      <c r="RIZ16" s="251"/>
      <c r="RJA16" s="251"/>
      <c r="RJB16" s="251"/>
      <c r="RJC16" s="251"/>
      <c r="RJD16" s="251"/>
      <c r="RJE16" s="251"/>
      <c r="RJF16" s="251"/>
      <c r="RJG16" s="251"/>
      <c r="RJH16" s="251"/>
      <c r="RJI16" s="251"/>
      <c r="RJJ16" s="251"/>
      <c r="RJK16" s="251"/>
      <c r="RJL16" s="251"/>
      <c r="RJM16" s="251"/>
      <c r="RJN16" s="251"/>
      <c r="RJO16" s="251"/>
      <c r="RJP16" s="251"/>
      <c r="RJQ16" s="251"/>
      <c r="RJR16" s="251"/>
      <c r="RJS16" s="251"/>
      <c r="RJT16" s="251"/>
      <c r="RJU16" s="251"/>
      <c r="RJV16" s="251"/>
      <c r="RJW16" s="251"/>
      <c r="RJX16" s="251"/>
      <c r="RJY16" s="251"/>
      <c r="RJZ16" s="251"/>
      <c r="RKA16" s="251"/>
      <c r="RKB16" s="251"/>
      <c r="RKC16" s="251"/>
      <c r="RKD16" s="251"/>
      <c r="RKE16" s="251"/>
      <c r="RKF16" s="251"/>
      <c r="RKG16" s="251"/>
      <c r="RKH16" s="251"/>
      <c r="RKI16" s="251"/>
      <c r="RKJ16" s="251"/>
      <c r="RKK16" s="251"/>
      <c r="RKL16" s="251"/>
      <c r="RKM16" s="251"/>
      <c r="RKN16" s="251"/>
      <c r="RKO16" s="251"/>
      <c r="RKP16" s="251"/>
      <c r="RKQ16" s="251"/>
      <c r="RKR16" s="251"/>
      <c r="RKS16" s="251"/>
      <c r="RKT16" s="251"/>
      <c r="RKU16" s="251"/>
      <c r="RKV16" s="251"/>
      <c r="RKW16" s="251"/>
      <c r="RKX16" s="251"/>
      <c r="RKY16" s="251"/>
      <c r="RKZ16" s="251"/>
      <c r="RLA16" s="251"/>
      <c r="RLB16" s="251"/>
      <c r="RLC16" s="251"/>
      <c r="RLD16" s="251"/>
      <c r="RLE16" s="251"/>
      <c r="RLF16" s="251"/>
      <c r="RLG16" s="251"/>
      <c r="RLH16" s="251"/>
      <c r="RLI16" s="251"/>
      <c r="RLJ16" s="251"/>
      <c r="RLK16" s="251"/>
      <c r="RLL16" s="251"/>
      <c r="RLM16" s="251"/>
      <c r="RLN16" s="251"/>
      <c r="RLO16" s="251"/>
      <c r="RLP16" s="251"/>
      <c r="RLQ16" s="251"/>
      <c r="RLR16" s="251"/>
      <c r="RLS16" s="251"/>
      <c r="RLT16" s="251"/>
      <c r="RLU16" s="251"/>
      <c r="RLV16" s="251"/>
      <c r="RLW16" s="251"/>
      <c r="RLX16" s="251"/>
      <c r="RLY16" s="251"/>
      <c r="RLZ16" s="251"/>
      <c r="RMA16" s="251"/>
      <c r="RMB16" s="251"/>
      <c r="RMC16" s="251"/>
      <c r="RMD16" s="251"/>
      <c r="RME16" s="251"/>
      <c r="RMF16" s="251"/>
      <c r="RMG16" s="251"/>
      <c r="RMH16" s="251"/>
      <c r="RMI16" s="251"/>
      <c r="RMJ16" s="251"/>
      <c r="RMK16" s="251"/>
      <c r="RML16" s="251"/>
      <c r="RMM16" s="251"/>
      <c r="RMN16" s="251"/>
      <c r="RMO16" s="251"/>
      <c r="RMP16" s="251"/>
      <c r="RMQ16" s="251"/>
      <c r="RMR16" s="251"/>
      <c r="RMS16" s="251"/>
      <c r="RMT16" s="251"/>
      <c r="RMU16" s="251"/>
      <c r="RMV16" s="251"/>
      <c r="RMW16" s="251"/>
      <c r="RMX16" s="251"/>
      <c r="RMY16" s="251"/>
      <c r="RMZ16" s="251"/>
      <c r="RNA16" s="251"/>
      <c r="RNB16" s="251"/>
      <c r="RNC16" s="251"/>
      <c r="RND16" s="251"/>
      <c r="RNE16" s="251"/>
      <c r="RNF16" s="251"/>
      <c r="RNG16" s="251"/>
      <c r="RNH16" s="251"/>
      <c r="RNI16" s="251"/>
      <c r="RNJ16" s="251"/>
      <c r="RNK16" s="251"/>
      <c r="RNL16" s="251"/>
      <c r="RNM16" s="251"/>
      <c r="RNN16" s="251"/>
      <c r="RNO16" s="251"/>
      <c r="RNP16" s="251"/>
      <c r="RNQ16" s="251"/>
      <c r="RNR16" s="251"/>
      <c r="RNS16" s="251"/>
      <c r="RNT16" s="251"/>
      <c r="RNU16" s="251"/>
      <c r="RNV16" s="251"/>
      <c r="RNW16" s="251"/>
      <c r="RNX16" s="251"/>
      <c r="RNY16" s="251"/>
      <c r="RNZ16" s="251"/>
      <c r="ROA16" s="251"/>
      <c r="ROB16" s="251"/>
      <c r="ROC16" s="251"/>
      <c r="ROD16" s="251"/>
      <c r="ROE16" s="251"/>
      <c r="ROF16" s="251"/>
      <c r="ROG16" s="251"/>
      <c r="ROH16" s="251"/>
      <c r="ROI16" s="251"/>
      <c r="ROJ16" s="251"/>
      <c r="ROK16" s="251"/>
      <c r="ROL16" s="251"/>
      <c r="ROM16" s="251"/>
      <c r="RON16" s="251"/>
      <c r="ROO16" s="251"/>
      <c r="ROP16" s="251"/>
      <c r="ROQ16" s="251"/>
      <c r="ROR16" s="251"/>
      <c r="ROS16" s="251"/>
      <c r="ROT16" s="251"/>
      <c r="ROU16" s="251"/>
      <c r="ROV16" s="251"/>
      <c r="ROW16" s="251"/>
      <c r="ROX16" s="251"/>
      <c r="ROY16" s="251"/>
      <c r="ROZ16" s="251"/>
      <c r="RPA16" s="251"/>
      <c r="RPB16" s="251"/>
      <c r="RPC16" s="251"/>
      <c r="RPD16" s="251"/>
      <c r="RPE16" s="251"/>
      <c r="RPF16" s="251"/>
      <c r="RPG16" s="251"/>
      <c r="RPH16" s="251"/>
      <c r="RPI16" s="251"/>
      <c r="RPJ16" s="251"/>
      <c r="RPK16" s="251"/>
      <c r="RPL16" s="251"/>
      <c r="RPM16" s="251"/>
      <c r="RPN16" s="251"/>
      <c r="RPO16" s="251"/>
      <c r="RPP16" s="251"/>
      <c r="RPQ16" s="251"/>
      <c r="RPR16" s="251"/>
      <c r="RPS16" s="251"/>
      <c r="RPT16" s="251"/>
      <c r="RPU16" s="251"/>
      <c r="RPV16" s="251"/>
      <c r="RPW16" s="251"/>
      <c r="RPX16" s="251"/>
      <c r="RPY16" s="251"/>
      <c r="RPZ16" s="251"/>
      <c r="RQA16" s="251"/>
      <c r="RQB16" s="251"/>
      <c r="RQC16" s="251"/>
      <c r="RQD16" s="251"/>
      <c r="RQE16" s="251"/>
      <c r="RQF16" s="251"/>
      <c r="RQG16" s="251"/>
      <c r="RQH16" s="251"/>
      <c r="RQI16" s="251"/>
      <c r="RQJ16" s="251"/>
      <c r="RQK16" s="251"/>
      <c r="RQL16" s="251"/>
      <c r="RQM16" s="251"/>
      <c r="RQN16" s="251"/>
      <c r="RQO16" s="251"/>
      <c r="RQP16" s="251"/>
      <c r="RQQ16" s="251"/>
      <c r="RQR16" s="251"/>
      <c r="RQS16" s="251"/>
      <c r="RQT16" s="251"/>
      <c r="RQU16" s="251"/>
      <c r="RQV16" s="251"/>
      <c r="RQW16" s="251"/>
      <c r="RQX16" s="251"/>
      <c r="RQY16" s="251"/>
      <c r="RQZ16" s="251"/>
      <c r="RRA16" s="251"/>
      <c r="RRB16" s="251"/>
      <c r="RRC16" s="251"/>
      <c r="RRD16" s="251"/>
      <c r="RRE16" s="251"/>
      <c r="RRF16" s="251"/>
      <c r="RRG16" s="251"/>
      <c r="RRH16" s="251"/>
      <c r="RRI16" s="251"/>
      <c r="RRJ16" s="251"/>
      <c r="RRK16" s="251"/>
      <c r="RRL16" s="251"/>
      <c r="RRM16" s="251"/>
      <c r="RRN16" s="251"/>
      <c r="RRO16" s="251"/>
      <c r="RRP16" s="251"/>
      <c r="RRQ16" s="251"/>
      <c r="RRR16" s="251"/>
      <c r="RRS16" s="251"/>
      <c r="RRT16" s="251"/>
      <c r="RRU16" s="251"/>
      <c r="RRV16" s="251"/>
      <c r="RRW16" s="251"/>
      <c r="RRX16" s="251"/>
      <c r="RRY16" s="251"/>
      <c r="RRZ16" s="251"/>
      <c r="RSA16" s="251"/>
      <c r="RSB16" s="251"/>
      <c r="RSC16" s="251"/>
      <c r="RSD16" s="251"/>
      <c r="RSE16" s="251"/>
      <c r="RSF16" s="251"/>
      <c r="RSG16" s="251"/>
      <c r="RSH16" s="251"/>
      <c r="RSI16" s="251"/>
      <c r="RSJ16" s="251"/>
      <c r="RSK16" s="251"/>
      <c r="RSL16" s="251"/>
      <c r="RSM16" s="251"/>
      <c r="RSN16" s="251"/>
      <c r="RSO16" s="251"/>
      <c r="RSP16" s="251"/>
      <c r="RSQ16" s="251"/>
      <c r="RSR16" s="251"/>
      <c r="RSS16" s="251"/>
      <c r="RST16" s="251"/>
      <c r="RSU16" s="251"/>
      <c r="RSV16" s="251"/>
      <c r="RSW16" s="251"/>
      <c r="RSX16" s="251"/>
      <c r="RSY16" s="251"/>
      <c r="RSZ16" s="251"/>
      <c r="RTA16" s="251"/>
      <c r="RTB16" s="251"/>
      <c r="RTC16" s="251"/>
      <c r="RTD16" s="251"/>
      <c r="RTE16" s="251"/>
      <c r="RTF16" s="251"/>
      <c r="RTG16" s="251"/>
      <c r="RTH16" s="251"/>
      <c r="RTI16" s="251"/>
      <c r="RTJ16" s="251"/>
      <c r="RTK16" s="251"/>
      <c r="RTL16" s="251"/>
      <c r="RTM16" s="251"/>
      <c r="RTN16" s="251"/>
      <c r="RTO16" s="251"/>
      <c r="RTP16" s="251"/>
      <c r="RTQ16" s="251"/>
      <c r="RTR16" s="251"/>
      <c r="RTS16" s="251"/>
      <c r="RTT16" s="251"/>
      <c r="RTU16" s="251"/>
      <c r="RTV16" s="251"/>
      <c r="RTW16" s="251"/>
      <c r="RTX16" s="251"/>
      <c r="RTY16" s="251"/>
      <c r="RTZ16" s="251"/>
      <c r="RUA16" s="251"/>
      <c r="RUB16" s="251"/>
      <c r="RUC16" s="251"/>
      <c r="RUD16" s="251"/>
      <c r="RUE16" s="251"/>
      <c r="RUF16" s="251"/>
      <c r="RUG16" s="251"/>
      <c r="RUH16" s="251"/>
      <c r="RUI16" s="251"/>
      <c r="RUJ16" s="251"/>
      <c r="RUK16" s="251"/>
      <c r="RUL16" s="251"/>
      <c r="RUM16" s="251"/>
      <c r="RUN16" s="251"/>
      <c r="RUO16" s="251"/>
      <c r="RUP16" s="251"/>
      <c r="RUQ16" s="251"/>
      <c r="RUR16" s="251"/>
      <c r="RUS16" s="251"/>
      <c r="RUT16" s="251"/>
      <c r="RUU16" s="251"/>
      <c r="RUV16" s="251"/>
      <c r="RUW16" s="251"/>
      <c r="RUX16" s="251"/>
      <c r="RUY16" s="251"/>
      <c r="RUZ16" s="251"/>
      <c r="RVA16" s="251"/>
      <c r="RVB16" s="251"/>
      <c r="RVC16" s="251"/>
      <c r="RVD16" s="251"/>
      <c r="RVE16" s="251"/>
      <c r="RVF16" s="251"/>
      <c r="RVG16" s="251"/>
      <c r="RVH16" s="251"/>
      <c r="RVI16" s="251"/>
      <c r="RVJ16" s="251"/>
      <c r="RVK16" s="251"/>
      <c r="RVL16" s="251"/>
      <c r="RVM16" s="251"/>
      <c r="RVN16" s="251"/>
      <c r="RVO16" s="251"/>
      <c r="RVP16" s="251"/>
      <c r="RVQ16" s="251"/>
      <c r="RVR16" s="251"/>
      <c r="RVS16" s="251"/>
      <c r="RVT16" s="251"/>
      <c r="RVU16" s="251"/>
      <c r="RVV16" s="251"/>
      <c r="RVW16" s="251"/>
      <c r="RVX16" s="251"/>
      <c r="RVY16" s="251"/>
      <c r="RVZ16" s="251"/>
      <c r="RWA16" s="251"/>
      <c r="RWB16" s="251"/>
      <c r="RWC16" s="251"/>
      <c r="RWD16" s="251"/>
      <c r="RWE16" s="251"/>
      <c r="RWF16" s="251"/>
      <c r="RWG16" s="251"/>
      <c r="RWH16" s="251"/>
      <c r="RWI16" s="251"/>
      <c r="RWJ16" s="251"/>
      <c r="RWK16" s="251"/>
      <c r="RWL16" s="251"/>
      <c r="RWM16" s="251"/>
      <c r="RWN16" s="251"/>
      <c r="RWO16" s="251"/>
      <c r="RWP16" s="251"/>
      <c r="RWQ16" s="251"/>
      <c r="RWR16" s="251"/>
      <c r="RWS16" s="251"/>
      <c r="RWT16" s="251"/>
      <c r="RWU16" s="251"/>
      <c r="RWV16" s="251"/>
      <c r="RWW16" s="251"/>
      <c r="RWX16" s="251"/>
      <c r="RWY16" s="251"/>
      <c r="RWZ16" s="251"/>
      <c r="RXA16" s="251"/>
      <c r="RXB16" s="251"/>
      <c r="RXC16" s="251"/>
      <c r="RXD16" s="251"/>
      <c r="RXE16" s="251"/>
      <c r="RXF16" s="251"/>
      <c r="RXG16" s="251"/>
      <c r="RXH16" s="251"/>
      <c r="RXI16" s="251"/>
      <c r="RXJ16" s="251"/>
      <c r="RXK16" s="251"/>
      <c r="RXL16" s="251"/>
      <c r="RXM16" s="251"/>
      <c r="RXN16" s="251"/>
      <c r="RXO16" s="251"/>
      <c r="RXP16" s="251"/>
      <c r="RXQ16" s="251"/>
      <c r="RXR16" s="251"/>
      <c r="RXS16" s="251"/>
      <c r="RXT16" s="251"/>
      <c r="RXU16" s="251"/>
      <c r="RXV16" s="251"/>
      <c r="RXW16" s="251"/>
      <c r="RXX16" s="251"/>
      <c r="RXY16" s="251"/>
      <c r="RXZ16" s="251"/>
      <c r="RYA16" s="251"/>
      <c r="RYB16" s="251"/>
      <c r="RYC16" s="251"/>
      <c r="RYD16" s="251"/>
      <c r="RYE16" s="251"/>
      <c r="RYF16" s="251"/>
      <c r="RYG16" s="251"/>
      <c r="RYH16" s="251"/>
      <c r="RYI16" s="251"/>
      <c r="RYJ16" s="251"/>
      <c r="RYK16" s="251"/>
      <c r="RYL16" s="251"/>
      <c r="RYM16" s="251"/>
      <c r="RYN16" s="251"/>
      <c r="RYO16" s="251"/>
      <c r="RYP16" s="251"/>
      <c r="RYQ16" s="251"/>
      <c r="RYR16" s="251"/>
      <c r="RYS16" s="251"/>
      <c r="RYT16" s="251"/>
      <c r="RYU16" s="251"/>
      <c r="RYV16" s="251"/>
      <c r="RYW16" s="251"/>
      <c r="RYX16" s="251"/>
      <c r="RYY16" s="251"/>
      <c r="RYZ16" s="251"/>
      <c r="RZA16" s="251"/>
      <c r="RZB16" s="251"/>
      <c r="RZC16" s="251"/>
      <c r="RZD16" s="251"/>
      <c r="RZE16" s="251"/>
      <c r="RZF16" s="251"/>
      <c r="RZG16" s="251"/>
      <c r="RZH16" s="251"/>
      <c r="RZI16" s="251"/>
      <c r="RZJ16" s="251"/>
      <c r="RZK16" s="251"/>
      <c r="RZL16" s="251"/>
      <c r="RZM16" s="251"/>
      <c r="RZN16" s="251"/>
      <c r="RZO16" s="251"/>
      <c r="RZP16" s="251"/>
      <c r="RZQ16" s="251"/>
      <c r="RZR16" s="251"/>
      <c r="RZS16" s="251"/>
      <c r="RZT16" s="251"/>
      <c r="RZU16" s="251"/>
      <c r="RZV16" s="251"/>
      <c r="RZW16" s="251"/>
      <c r="RZX16" s="251"/>
      <c r="RZY16" s="251"/>
      <c r="RZZ16" s="251"/>
      <c r="SAA16" s="251"/>
      <c r="SAB16" s="251"/>
      <c r="SAC16" s="251"/>
      <c r="SAD16" s="251"/>
      <c r="SAE16" s="251"/>
      <c r="SAF16" s="251"/>
      <c r="SAG16" s="251"/>
      <c r="SAH16" s="251"/>
      <c r="SAI16" s="251"/>
      <c r="SAJ16" s="251"/>
      <c r="SAK16" s="251"/>
      <c r="SAL16" s="251"/>
      <c r="SAM16" s="251"/>
      <c r="SAN16" s="251"/>
      <c r="SAO16" s="251"/>
      <c r="SAP16" s="251"/>
      <c r="SAQ16" s="251"/>
      <c r="SAR16" s="251"/>
      <c r="SAS16" s="251"/>
      <c r="SAT16" s="251"/>
      <c r="SAU16" s="251"/>
      <c r="SAV16" s="251"/>
      <c r="SAW16" s="251"/>
      <c r="SAX16" s="251"/>
      <c r="SAY16" s="251"/>
      <c r="SAZ16" s="251"/>
      <c r="SBA16" s="251"/>
      <c r="SBB16" s="251"/>
      <c r="SBC16" s="251"/>
      <c r="SBD16" s="251"/>
      <c r="SBE16" s="251"/>
      <c r="SBF16" s="251"/>
      <c r="SBG16" s="251"/>
      <c r="SBH16" s="251"/>
      <c r="SBI16" s="251"/>
      <c r="SBJ16" s="251"/>
      <c r="SBK16" s="251"/>
      <c r="SBL16" s="251"/>
      <c r="SBM16" s="251"/>
      <c r="SBN16" s="251"/>
      <c r="SBO16" s="251"/>
      <c r="SBP16" s="251"/>
      <c r="SBQ16" s="251"/>
      <c r="SBR16" s="251"/>
      <c r="SBS16" s="251"/>
      <c r="SBT16" s="251"/>
      <c r="SBU16" s="251"/>
      <c r="SBV16" s="251"/>
      <c r="SBW16" s="251"/>
      <c r="SBX16" s="251"/>
      <c r="SBY16" s="251"/>
      <c r="SBZ16" s="251"/>
      <c r="SCA16" s="251"/>
      <c r="SCB16" s="251"/>
      <c r="SCC16" s="251"/>
      <c r="SCD16" s="251"/>
      <c r="SCE16" s="251"/>
      <c r="SCF16" s="251"/>
      <c r="SCG16" s="251"/>
      <c r="SCH16" s="251"/>
      <c r="SCI16" s="251"/>
      <c r="SCJ16" s="251"/>
      <c r="SCK16" s="251"/>
      <c r="SCL16" s="251"/>
      <c r="SCM16" s="251"/>
      <c r="SCN16" s="251"/>
      <c r="SCO16" s="251"/>
      <c r="SCP16" s="251"/>
      <c r="SCQ16" s="251"/>
      <c r="SCR16" s="251"/>
      <c r="SCS16" s="251"/>
      <c r="SCT16" s="251"/>
      <c r="SCU16" s="251"/>
      <c r="SCV16" s="251"/>
      <c r="SCW16" s="251"/>
      <c r="SCX16" s="251"/>
      <c r="SCY16" s="251"/>
      <c r="SCZ16" s="251"/>
      <c r="SDA16" s="251"/>
      <c r="SDB16" s="251"/>
      <c r="SDC16" s="251"/>
      <c r="SDD16" s="251"/>
      <c r="SDE16" s="251"/>
      <c r="SDF16" s="251"/>
      <c r="SDG16" s="251"/>
      <c r="SDH16" s="251"/>
      <c r="SDI16" s="251"/>
      <c r="SDJ16" s="251"/>
      <c r="SDK16" s="251"/>
      <c r="SDL16" s="251"/>
      <c r="SDM16" s="251"/>
      <c r="SDN16" s="251"/>
      <c r="SDO16" s="251"/>
      <c r="SDP16" s="251"/>
      <c r="SDQ16" s="251"/>
      <c r="SDR16" s="251"/>
      <c r="SDS16" s="251"/>
      <c r="SDT16" s="251"/>
      <c r="SDU16" s="251"/>
      <c r="SDV16" s="251"/>
      <c r="SDW16" s="251"/>
      <c r="SDX16" s="251"/>
      <c r="SDY16" s="251"/>
      <c r="SDZ16" s="251"/>
      <c r="SEA16" s="251"/>
      <c r="SEB16" s="251"/>
      <c r="SEC16" s="251"/>
      <c r="SED16" s="251"/>
      <c r="SEE16" s="251"/>
      <c r="SEF16" s="251"/>
      <c r="SEG16" s="251"/>
      <c r="SEH16" s="251"/>
      <c r="SEI16" s="251"/>
      <c r="SEJ16" s="251"/>
      <c r="SEK16" s="251"/>
      <c r="SEL16" s="251"/>
      <c r="SEM16" s="251"/>
      <c r="SEN16" s="251"/>
      <c r="SEO16" s="251"/>
      <c r="SEP16" s="251"/>
      <c r="SEQ16" s="251"/>
      <c r="SER16" s="251"/>
      <c r="SES16" s="251"/>
      <c r="SET16" s="251"/>
      <c r="SEU16" s="251"/>
      <c r="SEV16" s="251"/>
      <c r="SEW16" s="251"/>
      <c r="SEX16" s="251"/>
      <c r="SEY16" s="251"/>
      <c r="SEZ16" s="251"/>
      <c r="SFA16" s="251"/>
      <c r="SFB16" s="251"/>
      <c r="SFC16" s="251"/>
      <c r="SFD16" s="251"/>
      <c r="SFE16" s="251"/>
      <c r="SFF16" s="251"/>
      <c r="SFG16" s="251"/>
      <c r="SFH16" s="251"/>
      <c r="SFI16" s="251"/>
      <c r="SFJ16" s="251"/>
      <c r="SFK16" s="251"/>
      <c r="SFL16" s="251"/>
      <c r="SFM16" s="251"/>
      <c r="SFN16" s="251"/>
      <c r="SFO16" s="251"/>
      <c r="SFP16" s="251"/>
      <c r="SFQ16" s="251"/>
      <c r="SFR16" s="251"/>
      <c r="SFS16" s="251"/>
      <c r="SFT16" s="251"/>
      <c r="SFU16" s="251"/>
      <c r="SFV16" s="251"/>
      <c r="SFW16" s="251"/>
      <c r="SFX16" s="251"/>
      <c r="SFY16" s="251"/>
      <c r="SFZ16" s="251"/>
      <c r="SGA16" s="251"/>
      <c r="SGB16" s="251"/>
      <c r="SGC16" s="251"/>
      <c r="SGD16" s="251"/>
      <c r="SGE16" s="251"/>
      <c r="SGF16" s="251"/>
      <c r="SGG16" s="251"/>
      <c r="SGH16" s="251"/>
      <c r="SGI16" s="251"/>
      <c r="SGJ16" s="251"/>
      <c r="SGK16" s="251"/>
      <c r="SGL16" s="251"/>
      <c r="SGM16" s="251"/>
      <c r="SGN16" s="251"/>
      <c r="SGO16" s="251"/>
      <c r="SGP16" s="251"/>
      <c r="SGQ16" s="251"/>
      <c r="SGR16" s="251"/>
      <c r="SGS16" s="251"/>
      <c r="SGT16" s="251"/>
      <c r="SGU16" s="251"/>
      <c r="SGV16" s="251"/>
      <c r="SGW16" s="251"/>
      <c r="SGX16" s="251"/>
      <c r="SGY16" s="251"/>
      <c r="SGZ16" s="251"/>
      <c r="SHA16" s="251"/>
      <c r="SHB16" s="251"/>
      <c r="SHC16" s="251"/>
      <c r="SHD16" s="251"/>
      <c r="SHE16" s="251"/>
      <c r="SHF16" s="251"/>
      <c r="SHG16" s="251"/>
      <c r="SHH16" s="251"/>
      <c r="SHI16" s="251"/>
      <c r="SHJ16" s="251"/>
      <c r="SHK16" s="251"/>
      <c r="SHL16" s="251"/>
      <c r="SHM16" s="251"/>
      <c r="SHN16" s="251"/>
      <c r="SHO16" s="251"/>
      <c r="SHP16" s="251"/>
      <c r="SHQ16" s="251"/>
      <c r="SHR16" s="251"/>
      <c r="SHS16" s="251"/>
      <c r="SHT16" s="251"/>
      <c r="SHU16" s="251"/>
      <c r="SHV16" s="251"/>
      <c r="SHW16" s="251"/>
      <c r="SHX16" s="251"/>
      <c r="SHY16" s="251"/>
      <c r="SHZ16" s="251"/>
      <c r="SIA16" s="251"/>
      <c r="SIB16" s="251"/>
      <c r="SIC16" s="251"/>
      <c r="SID16" s="251"/>
      <c r="SIE16" s="251"/>
      <c r="SIF16" s="251"/>
      <c r="SIG16" s="251"/>
      <c r="SIH16" s="251"/>
      <c r="SII16" s="251"/>
      <c r="SIJ16" s="251"/>
      <c r="SIK16" s="251"/>
      <c r="SIL16" s="251"/>
      <c r="SIM16" s="251"/>
      <c r="SIN16" s="251"/>
      <c r="SIO16" s="251"/>
      <c r="SIP16" s="251"/>
      <c r="SIQ16" s="251"/>
      <c r="SIR16" s="251"/>
      <c r="SIS16" s="251"/>
      <c r="SIT16" s="251"/>
      <c r="SIU16" s="251"/>
      <c r="SIV16" s="251"/>
      <c r="SIW16" s="251"/>
      <c r="SIX16" s="251"/>
      <c r="SIY16" s="251"/>
      <c r="SIZ16" s="251"/>
      <c r="SJA16" s="251"/>
      <c r="SJB16" s="251"/>
      <c r="SJC16" s="251"/>
      <c r="SJD16" s="251"/>
      <c r="SJE16" s="251"/>
      <c r="SJF16" s="251"/>
      <c r="SJG16" s="251"/>
      <c r="SJH16" s="251"/>
      <c r="SJI16" s="251"/>
      <c r="SJJ16" s="251"/>
      <c r="SJK16" s="251"/>
      <c r="SJL16" s="251"/>
      <c r="SJM16" s="251"/>
      <c r="SJN16" s="251"/>
      <c r="SJO16" s="251"/>
      <c r="SJP16" s="251"/>
      <c r="SJQ16" s="251"/>
      <c r="SJR16" s="251"/>
      <c r="SJS16" s="251"/>
      <c r="SJT16" s="251"/>
      <c r="SJU16" s="251"/>
      <c r="SJV16" s="251"/>
      <c r="SJW16" s="251"/>
      <c r="SJX16" s="251"/>
      <c r="SJY16" s="251"/>
      <c r="SJZ16" s="251"/>
      <c r="SKA16" s="251"/>
      <c r="SKB16" s="251"/>
      <c r="SKC16" s="251"/>
      <c r="SKD16" s="251"/>
      <c r="SKE16" s="251"/>
      <c r="SKF16" s="251"/>
      <c r="SKG16" s="251"/>
      <c r="SKH16" s="251"/>
      <c r="SKI16" s="251"/>
      <c r="SKJ16" s="251"/>
      <c r="SKK16" s="251"/>
      <c r="SKL16" s="251"/>
      <c r="SKM16" s="251"/>
      <c r="SKN16" s="251"/>
      <c r="SKO16" s="251"/>
      <c r="SKP16" s="251"/>
      <c r="SKQ16" s="251"/>
      <c r="SKR16" s="251"/>
      <c r="SKS16" s="251"/>
      <c r="SKT16" s="251"/>
      <c r="SKU16" s="251"/>
      <c r="SKV16" s="251"/>
      <c r="SKW16" s="251"/>
      <c r="SKX16" s="251"/>
      <c r="SKY16" s="251"/>
      <c r="SKZ16" s="251"/>
      <c r="SLA16" s="251"/>
      <c r="SLB16" s="251"/>
      <c r="SLC16" s="251"/>
      <c r="SLD16" s="251"/>
      <c r="SLE16" s="251"/>
      <c r="SLF16" s="251"/>
      <c r="SLG16" s="251"/>
      <c r="SLH16" s="251"/>
      <c r="SLI16" s="251"/>
      <c r="SLJ16" s="251"/>
      <c r="SLK16" s="251"/>
      <c r="SLL16" s="251"/>
      <c r="SLM16" s="251"/>
      <c r="SLN16" s="251"/>
      <c r="SLO16" s="251"/>
      <c r="SLP16" s="251"/>
      <c r="SLQ16" s="251"/>
      <c r="SLR16" s="251"/>
      <c r="SLS16" s="251"/>
      <c r="SLT16" s="251"/>
      <c r="SLU16" s="251"/>
      <c r="SLV16" s="251"/>
      <c r="SLW16" s="251"/>
      <c r="SLX16" s="251"/>
      <c r="SLY16" s="251"/>
      <c r="SLZ16" s="251"/>
      <c r="SMA16" s="251"/>
      <c r="SMB16" s="251"/>
      <c r="SMC16" s="251"/>
      <c r="SMD16" s="251"/>
      <c r="SME16" s="251"/>
      <c r="SMF16" s="251"/>
      <c r="SMG16" s="251"/>
      <c r="SMH16" s="251"/>
      <c r="SMI16" s="251"/>
      <c r="SMJ16" s="251"/>
      <c r="SMK16" s="251"/>
      <c r="SML16" s="251"/>
      <c r="SMM16" s="251"/>
      <c r="SMN16" s="251"/>
      <c r="SMO16" s="251"/>
      <c r="SMP16" s="251"/>
      <c r="SMQ16" s="251"/>
      <c r="SMR16" s="251"/>
      <c r="SMS16" s="251"/>
      <c r="SMT16" s="251"/>
      <c r="SMU16" s="251"/>
      <c r="SMV16" s="251"/>
      <c r="SMW16" s="251"/>
      <c r="SMX16" s="251"/>
      <c r="SMY16" s="251"/>
      <c r="SMZ16" s="251"/>
      <c r="SNA16" s="251"/>
      <c r="SNB16" s="251"/>
      <c r="SNC16" s="251"/>
      <c r="SND16" s="251"/>
      <c r="SNE16" s="251"/>
      <c r="SNF16" s="251"/>
      <c r="SNG16" s="251"/>
      <c r="SNH16" s="251"/>
      <c r="SNI16" s="251"/>
      <c r="SNJ16" s="251"/>
      <c r="SNK16" s="251"/>
      <c r="SNL16" s="251"/>
      <c r="SNM16" s="251"/>
      <c r="SNN16" s="251"/>
      <c r="SNO16" s="251"/>
      <c r="SNP16" s="251"/>
      <c r="SNQ16" s="251"/>
      <c r="SNR16" s="251"/>
      <c r="SNS16" s="251"/>
      <c r="SNT16" s="251"/>
      <c r="SNU16" s="251"/>
      <c r="SNV16" s="251"/>
      <c r="SNW16" s="251"/>
      <c r="SNX16" s="251"/>
      <c r="SNY16" s="251"/>
      <c r="SNZ16" s="251"/>
      <c r="SOA16" s="251"/>
      <c r="SOB16" s="251"/>
      <c r="SOC16" s="251"/>
      <c r="SOD16" s="251"/>
      <c r="SOE16" s="251"/>
      <c r="SOF16" s="251"/>
      <c r="SOG16" s="251"/>
      <c r="SOH16" s="251"/>
      <c r="SOI16" s="251"/>
      <c r="SOJ16" s="251"/>
      <c r="SOK16" s="251"/>
      <c r="SOL16" s="251"/>
      <c r="SOM16" s="251"/>
      <c r="SON16" s="251"/>
      <c r="SOO16" s="251"/>
      <c r="SOP16" s="251"/>
      <c r="SOQ16" s="251"/>
      <c r="SOR16" s="251"/>
      <c r="SOS16" s="251"/>
      <c r="SOT16" s="251"/>
      <c r="SOU16" s="251"/>
      <c r="SOV16" s="251"/>
      <c r="SOW16" s="251"/>
      <c r="SOX16" s="251"/>
      <c r="SOY16" s="251"/>
      <c r="SOZ16" s="251"/>
      <c r="SPA16" s="251"/>
      <c r="SPB16" s="251"/>
      <c r="SPC16" s="251"/>
      <c r="SPD16" s="251"/>
      <c r="SPE16" s="251"/>
      <c r="SPF16" s="251"/>
      <c r="SPG16" s="251"/>
      <c r="SPH16" s="251"/>
      <c r="SPI16" s="251"/>
      <c r="SPJ16" s="251"/>
      <c r="SPK16" s="251"/>
      <c r="SPL16" s="251"/>
      <c r="SPM16" s="251"/>
      <c r="SPN16" s="251"/>
      <c r="SPO16" s="251"/>
      <c r="SPP16" s="251"/>
      <c r="SPQ16" s="251"/>
      <c r="SPR16" s="251"/>
      <c r="SPS16" s="251"/>
      <c r="SPT16" s="251"/>
      <c r="SPU16" s="251"/>
      <c r="SPV16" s="251"/>
      <c r="SPW16" s="251"/>
      <c r="SPX16" s="251"/>
      <c r="SPY16" s="251"/>
      <c r="SPZ16" s="251"/>
      <c r="SQA16" s="251"/>
      <c r="SQB16" s="251"/>
      <c r="SQC16" s="251"/>
      <c r="SQD16" s="251"/>
      <c r="SQE16" s="251"/>
      <c r="SQF16" s="251"/>
      <c r="SQG16" s="251"/>
      <c r="SQH16" s="251"/>
      <c r="SQI16" s="251"/>
      <c r="SQJ16" s="251"/>
      <c r="SQK16" s="251"/>
      <c r="SQL16" s="251"/>
      <c r="SQM16" s="251"/>
      <c r="SQN16" s="251"/>
      <c r="SQO16" s="251"/>
      <c r="SQP16" s="251"/>
      <c r="SQQ16" s="251"/>
      <c r="SQR16" s="251"/>
      <c r="SQS16" s="251"/>
      <c r="SQT16" s="251"/>
      <c r="SQU16" s="251"/>
      <c r="SQV16" s="251"/>
      <c r="SQW16" s="251"/>
      <c r="SQX16" s="251"/>
      <c r="SQY16" s="251"/>
      <c r="SQZ16" s="251"/>
      <c r="SRA16" s="251"/>
      <c r="SRB16" s="251"/>
      <c r="SRC16" s="251"/>
      <c r="SRD16" s="251"/>
      <c r="SRE16" s="251"/>
      <c r="SRF16" s="251"/>
      <c r="SRG16" s="251"/>
      <c r="SRH16" s="251"/>
      <c r="SRI16" s="251"/>
      <c r="SRJ16" s="251"/>
      <c r="SRK16" s="251"/>
      <c r="SRL16" s="251"/>
      <c r="SRM16" s="251"/>
      <c r="SRN16" s="251"/>
      <c r="SRO16" s="251"/>
      <c r="SRP16" s="251"/>
      <c r="SRQ16" s="251"/>
      <c r="SRR16" s="251"/>
      <c r="SRS16" s="251"/>
      <c r="SRT16" s="251"/>
      <c r="SRU16" s="251"/>
      <c r="SRV16" s="251"/>
      <c r="SRW16" s="251"/>
      <c r="SRX16" s="251"/>
      <c r="SRY16" s="251"/>
      <c r="SRZ16" s="251"/>
      <c r="SSA16" s="251"/>
      <c r="SSB16" s="251"/>
      <c r="SSC16" s="251"/>
      <c r="SSD16" s="251"/>
      <c r="SSE16" s="251"/>
      <c r="SSF16" s="251"/>
      <c r="SSG16" s="251"/>
      <c r="SSH16" s="251"/>
      <c r="SSI16" s="251"/>
      <c r="SSJ16" s="251"/>
      <c r="SSK16" s="251"/>
      <c r="SSL16" s="251"/>
      <c r="SSM16" s="251"/>
      <c r="SSN16" s="251"/>
      <c r="SSO16" s="251"/>
      <c r="SSP16" s="251"/>
      <c r="SSQ16" s="251"/>
      <c r="SSR16" s="251"/>
      <c r="SSS16" s="251"/>
      <c r="SST16" s="251"/>
      <c r="SSU16" s="251"/>
      <c r="SSV16" s="251"/>
      <c r="SSW16" s="251"/>
      <c r="SSX16" s="251"/>
      <c r="SSY16" s="251"/>
      <c r="SSZ16" s="251"/>
      <c r="STA16" s="251"/>
      <c r="STB16" s="251"/>
      <c r="STC16" s="251"/>
      <c r="STD16" s="251"/>
      <c r="STE16" s="251"/>
      <c r="STF16" s="251"/>
      <c r="STG16" s="251"/>
      <c r="STH16" s="251"/>
      <c r="STI16" s="251"/>
      <c r="STJ16" s="251"/>
      <c r="STK16" s="251"/>
      <c r="STL16" s="251"/>
      <c r="STM16" s="251"/>
      <c r="STN16" s="251"/>
      <c r="STO16" s="251"/>
      <c r="STP16" s="251"/>
      <c r="STQ16" s="251"/>
      <c r="STR16" s="251"/>
      <c r="STS16" s="251"/>
      <c r="STT16" s="251"/>
      <c r="STU16" s="251"/>
      <c r="STV16" s="251"/>
      <c r="STW16" s="251"/>
      <c r="STX16" s="251"/>
      <c r="STY16" s="251"/>
      <c r="STZ16" s="251"/>
      <c r="SUA16" s="251"/>
      <c r="SUB16" s="251"/>
      <c r="SUC16" s="251"/>
      <c r="SUD16" s="251"/>
      <c r="SUE16" s="251"/>
      <c r="SUF16" s="251"/>
      <c r="SUG16" s="251"/>
      <c r="SUH16" s="251"/>
      <c r="SUI16" s="251"/>
      <c r="SUJ16" s="251"/>
      <c r="SUK16" s="251"/>
      <c r="SUL16" s="251"/>
      <c r="SUM16" s="251"/>
      <c r="SUN16" s="251"/>
      <c r="SUO16" s="251"/>
      <c r="SUP16" s="251"/>
      <c r="SUQ16" s="251"/>
      <c r="SUR16" s="251"/>
      <c r="SUS16" s="251"/>
      <c r="SUT16" s="251"/>
      <c r="SUU16" s="251"/>
      <c r="SUV16" s="251"/>
      <c r="SUW16" s="251"/>
      <c r="SUX16" s="251"/>
      <c r="SUY16" s="251"/>
      <c r="SUZ16" s="251"/>
      <c r="SVA16" s="251"/>
      <c r="SVB16" s="251"/>
      <c r="SVC16" s="251"/>
      <c r="SVD16" s="251"/>
      <c r="SVE16" s="251"/>
      <c r="SVF16" s="251"/>
      <c r="SVG16" s="251"/>
      <c r="SVH16" s="251"/>
      <c r="SVI16" s="251"/>
      <c r="SVJ16" s="251"/>
      <c r="SVK16" s="251"/>
      <c r="SVL16" s="251"/>
      <c r="SVM16" s="251"/>
      <c r="SVN16" s="251"/>
      <c r="SVO16" s="251"/>
      <c r="SVP16" s="251"/>
      <c r="SVQ16" s="251"/>
      <c r="SVR16" s="251"/>
      <c r="SVS16" s="251"/>
      <c r="SVT16" s="251"/>
      <c r="SVU16" s="251"/>
      <c r="SVV16" s="251"/>
      <c r="SVW16" s="251"/>
      <c r="SVX16" s="251"/>
      <c r="SVY16" s="251"/>
      <c r="SVZ16" s="251"/>
      <c r="SWA16" s="251"/>
      <c r="SWB16" s="251"/>
      <c r="SWC16" s="251"/>
      <c r="SWD16" s="251"/>
      <c r="SWE16" s="251"/>
      <c r="SWF16" s="251"/>
      <c r="SWG16" s="251"/>
      <c r="SWH16" s="251"/>
      <c r="SWI16" s="251"/>
      <c r="SWJ16" s="251"/>
      <c r="SWK16" s="251"/>
      <c r="SWL16" s="251"/>
      <c r="SWM16" s="251"/>
      <c r="SWN16" s="251"/>
      <c r="SWO16" s="251"/>
      <c r="SWP16" s="251"/>
      <c r="SWQ16" s="251"/>
      <c r="SWR16" s="251"/>
      <c r="SWS16" s="251"/>
      <c r="SWT16" s="251"/>
      <c r="SWU16" s="251"/>
      <c r="SWV16" s="251"/>
      <c r="SWW16" s="251"/>
      <c r="SWX16" s="251"/>
      <c r="SWY16" s="251"/>
      <c r="SWZ16" s="251"/>
      <c r="SXA16" s="251"/>
      <c r="SXB16" s="251"/>
      <c r="SXC16" s="251"/>
      <c r="SXD16" s="251"/>
      <c r="SXE16" s="251"/>
      <c r="SXF16" s="251"/>
      <c r="SXG16" s="251"/>
      <c r="SXH16" s="251"/>
      <c r="SXI16" s="251"/>
      <c r="SXJ16" s="251"/>
      <c r="SXK16" s="251"/>
      <c r="SXL16" s="251"/>
      <c r="SXM16" s="251"/>
      <c r="SXN16" s="251"/>
      <c r="SXO16" s="251"/>
      <c r="SXP16" s="251"/>
      <c r="SXQ16" s="251"/>
      <c r="SXR16" s="251"/>
      <c r="SXS16" s="251"/>
      <c r="SXT16" s="251"/>
      <c r="SXU16" s="251"/>
      <c r="SXV16" s="251"/>
      <c r="SXW16" s="251"/>
      <c r="SXX16" s="251"/>
      <c r="SXY16" s="251"/>
      <c r="SXZ16" s="251"/>
      <c r="SYA16" s="251"/>
      <c r="SYB16" s="251"/>
      <c r="SYC16" s="251"/>
      <c r="SYD16" s="251"/>
      <c r="SYE16" s="251"/>
      <c r="SYF16" s="251"/>
      <c r="SYG16" s="251"/>
      <c r="SYH16" s="251"/>
      <c r="SYI16" s="251"/>
      <c r="SYJ16" s="251"/>
      <c r="SYK16" s="251"/>
      <c r="SYL16" s="251"/>
      <c r="SYM16" s="251"/>
      <c r="SYN16" s="251"/>
      <c r="SYO16" s="251"/>
      <c r="SYP16" s="251"/>
      <c r="SYQ16" s="251"/>
      <c r="SYR16" s="251"/>
      <c r="SYS16" s="251"/>
      <c r="SYT16" s="251"/>
      <c r="SYU16" s="251"/>
      <c r="SYV16" s="251"/>
      <c r="SYW16" s="251"/>
      <c r="SYX16" s="251"/>
      <c r="SYY16" s="251"/>
      <c r="SYZ16" s="251"/>
      <c r="SZA16" s="251"/>
      <c r="SZB16" s="251"/>
      <c r="SZC16" s="251"/>
      <c r="SZD16" s="251"/>
      <c r="SZE16" s="251"/>
      <c r="SZF16" s="251"/>
      <c r="SZG16" s="251"/>
      <c r="SZH16" s="251"/>
      <c r="SZI16" s="251"/>
      <c r="SZJ16" s="251"/>
      <c r="SZK16" s="251"/>
      <c r="SZL16" s="251"/>
      <c r="SZM16" s="251"/>
      <c r="SZN16" s="251"/>
      <c r="SZO16" s="251"/>
      <c r="SZP16" s="251"/>
      <c r="SZQ16" s="251"/>
      <c r="SZR16" s="251"/>
      <c r="SZS16" s="251"/>
      <c r="SZT16" s="251"/>
      <c r="SZU16" s="251"/>
      <c r="SZV16" s="251"/>
      <c r="SZW16" s="251"/>
      <c r="SZX16" s="251"/>
      <c r="SZY16" s="251"/>
      <c r="SZZ16" s="251"/>
      <c r="TAA16" s="251"/>
      <c r="TAB16" s="251"/>
      <c r="TAC16" s="251"/>
      <c r="TAD16" s="251"/>
      <c r="TAE16" s="251"/>
      <c r="TAF16" s="251"/>
      <c r="TAG16" s="251"/>
      <c r="TAH16" s="251"/>
      <c r="TAI16" s="251"/>
      <c r="TAJ16" s="251"/>
      <c r="TAK16" s="251"/>
      <c r="TAL16" s="251"/>
      <c r="TAM16" s="251"/>
      <c r="TAN16" s="251"/>
      <c r="TAO16" s="251"/>
      <c r="TAP16" s="251"/>
      <c r="TAQ16" s="251"/>
      <c r="TAR16" s="251"/>
      <c r="TAS16" s="251"/>
      <c r="TAT16" s="251"/>
      <c r="TAU16" s="251"/>
      <c r="TAV16" s="251"/>
      <c r="TAW16" s="251"/>
      <c r="TAX16" s="251"/>
      <c r="TAY16" s="251"/>
      <c r="TAZ16" s="251"/>
      <c r="TBA16" s="251"/>
      <c r="TBB16" s="251"/>
      <c r="TBC16" s="251"/>
      <c r="TBD16" s="251"/>
      <c r="TBE16" s="251"/>
      <c r="TBF16" s="251"/>
      <c r="TBG16" s="251"/>
      <c r="TBH16" s="251"/>
      <c r="TBI16" s="251"/>
      <c r="TBJ16" s="251"/>
      <c r="TBK16" s="251"/>
      <c r="TBL16" s="251"/>
      <c r="TBM16" s="251"/>
      <c r="TBN16" s="251"/>
      <c r="TBO16" s="251"/>
      <c r="TBP16" s="251"/>
      <c r="TBQ16" s="251"/>
      <c r="TBR16" s="251"/>
      <c r="TBS16" s="251"/>
      <c r="TBT16" s="251"/>
      <c r="TBU16" s="251"/>
      <c r="TBV16" s="251"/>
      <c r="TBW16" s="251"/>
      <c r="TBX16" s="251"/>
      <c r="TBY16" s="251"/>
      <c r="TBZ16" s="251"/>
      <c r="TCA16" s="251"/>
      <c r="TCB16" s="251"/>
      <c r="TCC16" s="251"/>
      <c r="TCD16" s="251"/>
      <c r="TCE16" s="251"/>
      <c r="TCF16" s="251"/>
      <c r="TCG16" s="251"/>
      <c r="TCH16" s="251"/>
      <c r="TCI16" s="251"/>
      <c r="TCJ16" s="251"/>
      <c r="TCK16" s="251"/>
      <c r="TCL16" s="251"/>
      <c r="TCM16" s="251"/>
      <c r="TCN16" s="251"/>
      <c r="TCO16" s="251"/>
      <c r="TCP16" s="251"/>
      <c r="TCQ16" s="251"/>
      <c r="TCR16" s="251"/>
      <c r="TCS16" s="251"/>
      <c r="TCT16" s="251"/>
      <c r="TCU16" s="251"/>
      <c r="TCV16" s="251"/>
      <c r="TCW16" s="251"/>
      <c r="TCX16" s="251"/>
      <c r="TCY16" s="251"/>
      <c r="TCZ16" s="251"/>
      <c r="TDA16" s="251"/>
      <c r="TDB16" s="251"/>
      <c r="TDC16" s="251"/>
      <c r="TDD16" s="251"/>
      <c r="TDE16" s="251"/>
      <c r="TDF16" s="251"/>
      <c r="TDG16" s="251"/>
      <c r="TDH16" s="251"/>
      <c r="TDI16" s="251"/>
      <c r="TDJ16" s="251"/>
      <c r="TDK16" s="251"/>
      <c r="TDL16" s="251"/>
      <c r="TDM16" s="251"/>
      <c r="TDN16" s="251"/>
      <c r="TDO16" s="251"/>
      <c r="TDP16" s="251"/>
      <c r="TDQ16" s="251"/>
      <c r="TDR16" s="251"/>
      <c r="TDS16" s="251"/>
      <c r="TDT16" s="251"/>
      <c r="TDU16" s="251"/>
      <c r="TDV16" s="251"/>
      <c r="TDW16" s="251"/>
      <c r="TDX16" s="251"/>
      <c r="TDY16" s="251"/>
      <c r="TDZ16" s="251"/>
      <c r="TEA16" s="251"/>
      <c r="TEB16" s="251"/>
      <c r="TEC16" s="251"/>
      <c r="TED16" s="251"/>
      <c r="TEE16" s="251"/>
      <c r="TEF16" s="251"/>
      <c r="TEG16" s="251"/>
      <c r="TEH16" s="251"/>
      <c r="TEI16" s="251"/>
      <c r="TEJ16" s="251"/>
      <c r="TEK16" s="251"/>
      <c r="TEL16" s="251"/>
      <c r="TEM16" s="251"/>
      <c r="TEN16" s="251"/>
      <c r="TEO16" s="251"/>
      <c r="TEP16" s="251"/>
      <c r="TEQ16" s="251"/>
      <c r="TER16" s="251"/>
      <c r="TES16" s="251"/>
      <c r="TET16" s="251"/>
      <c r="TEU16" s="251"/>
      <c r="TEV16" s="251"/>
      <c r="TEW16" s="251"/>
      <c r="TEX16" s="251"/>
      <c r="TEY16" s="251"/>
      <c r="TEZ16" s="251"/>
      <c r="TFA16" s="251"/>
      <c r="TFB16" s="251"/>
      <c r="TFC16" s="251"/>
      <c r="TFD16" s="251"/>
      <c r="TFE16" s="251"/>
      <c r="TFF16" s="251"/>
      <c r="TFG16" s="251"/>
      <c r="TFH16" s="251"/>
      <c r="TFI16" s="251"/>
      <c r="TFJ16" s="251"/>
      <c r="TFK16" s="251"/>
      <c r="TFL16" s="251"/>
      <c r="TFM16" s="251"/>
      <c r="TFN16" s="251"/>
      <c r="TFO16" s="251"/>
      <c r="TFP16" s="251"/>
      <c r="TFQ16" s="251"/>
      <c r="TFR16" s="251"/>
      <c r="TFS16" s="251"/>
      <c r="TFT16" s="251"/>
      <c r="TFU16" s="251"/>
      <c r="TFV16" s="251"/>
      <c r="TFW16" s="251"/>
      <c r="TFX16" s="251"/>
      <c r="TFY16" s="251"/>
      <c r="TFZ16" s="251"/>
      <c r="TGA16" s="251"/>
      <c r="TGB16" s="251"/>
      <c r="TGC16" s="251"/>
      <c r="TGD16" s="251"/>
      <c r="TGE16" s="251"/>
      <c r="TGF16" s="251"/>
      <c r="TGG16" s="251"/>
      <c r="TGH16" s="251"/>
      <c r="TGI16" s="251"/>
      <c r="TGJ16" s="251"/>
      <c r="TGK16" s="251"/>
      <c r="TGL16" s="251"/>
      <c r="TGM16" s="251"/>
      <c r="TGN16" s="251"/>
      <c r="TGO16" s="251"/>
      <c r="TGP16" s="251"/>
      <c r="TGQ16" s="251"/>
      <c r="TGR16" s="251"/>
      <c r="TGS16" s="251"/>
      <c r="TGT16" s="251"/>
      <c r="TGU16" s="251"/>
      <c r="TGV16" s="251"/>
      <c r="TGW16" s="251"/>
      <c r="TGX16" s="251"/>
      <c r="TGY16" s="251"/>
      <c r="TGZ16" s="251"/>
      <c r="THA16" s="251"/>
      <c r="THB16" s="251"/>
      <c r="THC16" s="251"/>
      <c r="THD16" s="251"/>
      <c r="THE16" s="251"/>
      <c r="THF16" s="251"/>
      <c r="THG16" s="251"/>
      <c r="THH16" s="251"/>
      <c r="THI16" s="251"/>
      <c r="THJ16" s="251"/>
      <c r="THK16" s="251"/>
      <c r="THL16" s="251"/>
      <c r="THM16" s="251"/>
      <c r="THN16" s="251"/>
      <c r="THO16" s="251"/>
      <c r="THP16" s="251"/>
      <c r="THQ16" s="251"/>
      <c r="THR16" s="251"/>
      <c r="THS16" s="251"/>
      <c r="THT16" s="251"/>
      <c r="THU16" s="251"/>
      <c r="THV16" s="251"/>
      <c r="THW16" s="251"/>
      <c r="THX16" s="251"/>
      <c r="THY16" s="251"/>
      <c r="THZ16" s="251"/>
      <c r="TIA16" s="251"/>
      <c r="TIB16" s="251"/>
      <c r="TIC16" s="251"/>
      <c r="TID16" s="251"/>
      <c r="TIE16" s="251"/>
      <c r="TIF16" s="251"/>
      <c r="TIG16" s="251"/>
      <c r="TIH16" s="251"/>
      <c r="TII16" s="251"/>
      <c r="TIJ16" s="251"/>
      <c r="TIK16" s="251"/>
      <c r="TIL16" s="251"/>
      <c r="TIM16" s="251"/>
      <c r="TIN16" s="251"/>
      <c r="TIO16" s="251"/>
      <c r="TIP16" s="251"/>
      <c r="TIQ16" s="251"/>
      <c r="TIR16" s="251"/>
      <c r="TIS16" s="251"/>
      <c r="TIT16" s="251"/>
      <c r="TIU16" s="251"/>
      <c r="TIV16" s="251"/>
      <c r="TIW16" s="251"/>
      <c r="TIX16" s="251"/>
      <c r="TIY16" s="251"/>
      <c r="TIZ16" s="251"/>
      <c r="TJA16" s="251"/>
      <c r="TJB16" s="251"/>
      <c r="TJC16" s="251"/>
      <c r="TJD16" s="251"/>
      <c r="TJE16" s="251"/>
      <c r="TJF16" s="251"/>
      <c r="TJG16" s="251"/>
      <c r="TJH16" s="251"/>
      <c r="TJI16" s="251"/>
      <c r="TJJ16" s="251"/>
      <c r="TJK16" s="251"/>
      <c r="TJL16" s="251"/>
      <c r="TJM16" s="251"/>
      <c r="TJN16" s="251"/>
      <c r="TJO16" s="251"/>
      <c r="TJP16" s="251"/>
      <c r="TJQ16" s="251"/>
      <c r="TJR16" s="251"/>
      <c r="TJS16" s="251"/>
      <c r="TJT16" s="251"/>
      <c r="TJU16" s="251"/>
      <c r="TJV16" s="251"/>
      <c r="TJW16" s="251"/>
      <c r="TJX16" s="251"/>
      <c r="TJY16" s="251"/>
      <c r="TJZ16" s="251"/>
      <c r="TKA16" s="251"/>
      <c r="TKB16" s="251"/>
      <c r="TKC16" s="251"/>
      <c r="TKD16" s="251"/>
      <c r="TKE16" s="251"/>
      <c r="TKF16" s="251"/>
      <c r="TKG16" s="251"/>
      <c r="TKH16" s="251"/>
      <c r="TKI16" s="251"/>
      <c r="TKJ16" s="251"/>
      <c r="TKK16" s="251"/>
      <c r="TKL16" s="251"/>
      <c r="TKM16" s="251"/>
      <c r="TKN16" s="251"/>
      <c r="TKO16" s="251"/>
      <c r="TKP16" s="251"/>
      <c r="TKQ16" s="251"/>
      <c r="TKR16" s="251"/>
      <c r="TKS16" s="251"/>
      <c r="TKT16" s="251"/>
      <c r="TKU16" s="251"/>
      <c r="TKV16" s="251"/>
      <c r="TKW16" s="251"/>
      <c r="TKX16" s="251"/>
      <c r="TKY16" s="251"/>
      <c r="TKZ16" s="251"/>
      <c r="TLA16" s="251"/>
      <c r="TLB16" s="251"/>
      <c r="TLC16" s="251"/>
      <c r="TLD16" s="251"/>
      <c r="TLE16" s="251"/>
      <c r="TLF16" s="251"/>
      <c r="TLG16" s="251"/>
      <c r="TLH16" s="251"/>
      <c r="TLI16" s="251"/>
      <c r="TLJ16" s="251"/>
      <c r="TLK16" s="251"/>
      <c r="TLL16" s="251"/>
      <c r="TLM16" s="251"/>
      <c r="TLN16" s="251"/>
      <c r="TLO16" s="251"/>
      <c r="TLP16" s="251"/>
      <c r="TLQ16" s="251"/>
      <c r="TLR16" s="251"/>
      <c r="TLS16" s="251"/>
      <c r="TLT16" s="251"/>
      <c r="TLU16" s="251"/>
      <c r="TLV16" s="251"/>
      <c r="TLW16" s="251"/>
      <c r="TLX16" s="251"/>
      <c r="TLY16" s="251"/>
      <c r="TLZ16" s="251"/>
      <c r="TMA16" s="251"/>
      <c r="TMB16" s="251"/>
      <c r="TMC16" s="251"/>
      <c r="TMD16" s="251"/>
      <c r="TME16" s="251"/>
      <c r="TMF16" s="251"/>
      <c r="TMG16" s="251"/>
      <c r="TMH16" s="251"/>
      <c r="TMI16" s="251"/>
      <c r="TMJ16" s="251"/>
      <c r="TMK16" s="251"/>
      <c r="TML16" s="251"/>
      <c r="TMM16" s="251"/>
      <c r="TMN16" s="251"/>
      <c r="TMO16" s="251"/>
      <c r="TMP16" s="251"/>
      <c r="TMQ16" s="251"/>
      <c r="TMR16" s="251"/>
      <c r="TMS16" s="251"/>
      <c r="TMT16" s="251"/>
      <c r="TMU16" s="251"/>
      <c r="TMV16" s="251"/>
      <c r="TMW16" s="251"/>
      <c r="TMX16" s="251"/>
      <c r="TMY16" s="251"/>
      <c r="TMZ16" s="251"/>
      <c r="TNA16" s="251"/>
      <c r="TNB16" s="251"/>
      <c r="TNC16" s="251"/>
      <c r="TND16" s="251"/>
      <c r="TNE16" s="251"/>
      <c r="TNF16" s="251"/>
      <c r="TNG16" s="251"/>
      <c r="TNH16" s="251"/>
      <c r="TNI16" s="251"/>
      <c r="TNJ16" s="251"/>
      <c r="TNK16" s="251"/>
      <c r="TNL16" s="251"/>
      <c r="TNM16" s="251"/>
      <c r="TNN16" s="251"/>
      <c r="TNO16" s="251"/>
      <c r="TNP16" s="251"/>
      <c r="TNQ16" s="251"/>
      <c r="TNR16" s="251"/>
      <c r="TNS16" s="251"/>
      <c r="TNT16" s="251"/>
      <c r="TNU16" s="251"/>
      <c r="TNV16" s="251"/>
      <c r="TNW16" s="251"/>
      <c r="TNX16" s="251"/>
      <c r="TNY16" s="251"/>
      <c r="TNZ16" s="251"/>
      <c r="TOA16" s="251"/>
      <c r="TOB16" s="251"/>
      <c r="TOC16" s="251"/>
      <c r="TOD16" s="251"/>
      <c r="TOE16" s="251"/>
      <c r="TOF16" s="251"/>
      <c r="TOG16" s="251"/>
      <c r="TOH16" s="251"/>
      <c r="TOI16" s="251"/>
      <c r="TOJ16" s="251"/>
      <c r="TOK16" s="251"/>
      <c r="TOL16" s="251"/>
      <c r="TOM16" s="251"/>
      <c r="TON16" s="251"/>
      <c r="TOO16" s="251"/>
      <c r="TOP16" s="251"/>
      <c r="TOQ16" s="251"/>
      <c r="TOR16" s="251"/>
      <c r="TOS16" s="251"/>
      <c r="TOT16" s="251"/>
      <c r="TOU16" s="251"/>
      <c r="TOV16" s="251"/>
      <c r="TOW16" s="251"/>
      <c r="TOX16" s="251"/>
      <c r="TOY16" s="251"/>
      <c r="TOZ16" s="251"/>
      <c r="TPA16" s="251"/>
      <c r="TPB16" s="251"/>
      <c r="TPC16" s="251"/>
      <c r="TPD16" s="251"/>
      <c r="TPE16" s="251"/>
      <c r="TPF16" s="251"/>
      <c r="TPG16" s="251"/>
      <c r="TPH16" s="251"/>
      <c r="TPI16" s="251"/>
      <c r="TPJ16" s="251"/>
      <c r="TPK16" s="251"/>
      <c r="TPL16" s="251"/>
      <c r="TPM16" s="251"/>
      <c r="TPN16" s="251"/>
      <c r="TPO16" s="251"/>
      <c r="TPP16" s="251"/>
      <c r="TPQ16" s="251"/>
      <c r="TPR16" s="251"/>
      <c r="TPS16" s="251"/>
      <c r="TPT16" s="251"/>
      <c r="TPU16" s="251"/>
      <c r="TPV16" s="251"/>
      <c r="TPW16" s="251"/>
      <c r="TPX16" s="251"/>
      <c r="TPY16" s="251"/>
      <c r="TPZ16" s="251"/>
      <c r="TQA16" s="251"/>
      <c r="TQB16" s="251"/>
      <c r="TQC16" s="251"/>
      <c r="TQD16" s="251"/>
      <c r="TQE16" s="251"/>
      <c r="TQF16" s="251"/>
      <c r="TQG16" s="251"/>
      <c r="TQH16" s="251"/>
      <c r="TQI16" s="251"/>
      <c r="TQJ16" s="251"/>
      <c r="TQK16" s="251"/>
      <c r="TQL16" s="251"/>
      <c r="TQM16" s="251"/>
      <c r="TQN16" s="251"/>
      <c r="TQO16" s="251"/>
      <c r="TQP16" s="251"/>
      <c r="TQQ16" s="251"/>
      <c r="TQR16" s="251"/>
      <c r="TQS16" s="251"/>
      <c r="TQT16" s="251"/>
      <c r="TQU16" s="251"/>
      <c r="TQV16" s="251"/>
      <c r="TQW16" s="251"/>
      <c r="TQX16" s="251"/>
      <c r="TQY16" s="251"/>
      <c r="TQZ16" s="251"/>
      <c r="TRA16" s="251"/>
      <c r="TRB16" s="251"/>
      <c r="TRC16" s="251"/>
      <c r="TRD16" s="251"/>
      <c r="TRE16" s="251"/>
      <c r="TRF16" s="251"/>
      <c r="TRG16" s="251"/>
      <c r="TRH16" s="251"/>
      <c r="TRI16" s="251"/>
      <c r="TRJ16" s="251"/>
      <c r="TRK16" s="251"/>
      <c r="TRL16" s="251"/>
      <c r="TRM16" s="251"/>
      <c r="TRN16" s="251"/>
      <c r="TRO16" s="251"/>
      <c r="TRP16" s="251"/>
      <c r="TRQ16" s="251"/>
      <c r="TRR16" s="251"/>
      <c r="TRS16" s="251"/>
      <c r="TRT16" s="251"/>
      <c r="TRU16" s="251"/>
      <c r="TRV16" s="251"/>
      <c r="TRW16" s="251"/>
      <c r="TRX16" s="251"/>
      <c r="TRY16" s="251"/>
      <c r="TRZ16" s="251"/>
      <c r="TSA16" s="251"/>
      <c r="TSB16" s="251"/>
      <c r="TSC16" s="251"/>
      <c r="TSD16" s="251"/>
      <c r="TSE16" s="251"/>
      <c r="TSF16" s="251"/>
      <c r="TSG16" s="251"/>
      <c r="TSH16" s="251"/>
      <c r="TSI16" s="251"/>
      <c r="TSJ16" s="251"/>
      <c r="TSK16" s="251"/>
      <c r="TSL16" s="251"/>
      <c r="TSM16" s="251"/>
      <c r="TSN16" s="251"/>
      <c r="TSO16" s="251"/>
      <c r="TSP16" s="251"/>
      <c r="TSQ16" s="251"/>
      <c r="TSR16" s="251"/>
      <c r="TSS16" s="251"/>
      <c r="TST16" s="251"/>
      <c r="TSU16" s="251"/>
      <c r="TSV16" s="251"/>
      <c r="TSW16" s="251"/>
      <c r="TSX16" s="251"/>
      <c r="TSY16" s="251"/>
      <c r="TSZ16" s="251"/>
      <c r="TTA16" s="251"/>
      <c r="TTB16" s="251"/>
      <c r="TTC16" s="251"/>
      <c r="TTD16" s="251"/>
      <c r="TTE16" s="251"/>
      <c r="TTF16" s="251"/>
      <c r="TTG16" s="251"/>
      <c r="TTH16" s="251"/>
      <c r="TTI16" s="251"/>
      <c r="TTJ16" s="251"/>
      <c r="TTK16" s="251"/>
      <c r="TTL16" s="251"/>
      <c r="TTM16" s="251"/>
      <c r="TTN16" s="251"/>
      <c r="TTO16" s="251"/>
      <c r="TTP16" s="251"/>
      <c r="TTQ16" s="251"/>
      <c r="TTR16" s="251"/>
      <c r="TTS16" s="251"/>
      <c r="TTT16" s="251"/>
      <c r="TTU16" s="251"/>
      <c r="TTV16" s="251"/>
      <c r="TTW16" s="251"/>
      <c r="TTX16" s="251"/>
      <c r="TTY16" s="251"/>
      <c r="TTZ16" s="251"/>
      <c r="TUA16" s="251"/>
      <c r="TUB16" s="251"/>
      <c r="TUC16" s="251"/>
      <c r="TUD16" s="251"/>
      <c r="TUE16" s="251"/>
      <c r="TUF16" s="251"/>
      <c r="TUG16" s="251"/>
      <c r="TUH16" s="251"/>
      <c r="TUI16" s="251"/>
      <c r="TUJ16" s="251"/>
      <c r="TUK16" s="251"/>
      <c r="TUL16" s="251"/>
      <c r="TUM16" s="251"/>
      <c r="TUN16" s="251"/>
      <c r="TUO16" s="251"/>
      <c r="TUP16" s="251"/>
      <c r="TUQ16" s="251"/>
      <c r="TUR16" s="251"/>
      <c r="TUS16" s="251"/>
      <c r="TUT16" s="251"/>
      <c r="TUU16" s="251"/>
      <c r="TUV16" s="251"/>
      <c r="TUW16" s="251"/>
      <c r="TUX16" s="251"/>
      <c r="TUY16" s="251"/>
      <c r="TUZ16" s="251"/>
      <c r="TVA16" s="251"/>
      <c r="TVB16" s="251"/>
      <c r="TVC16" s="251"/>
      <c r="TVD16" s="251"/>
      <c r="TVE16" s="251"/>
      <c r="TVF16" s="251"/>
      <c r="TVG16" s="251"/>
      <c r="TVH16" s="251"/>
      <c r="TVI16" s="251"/>
      <c r="TVJ16" s="251"/>
      <c r="TVK16" s="251"/>
      <c r="TVL16" s="251"/>
      <c r="TVM16" s="251"/>
      <c r="TVN16" s="251"/>
      <c r="TVO16" s="251"/>
      <c r="TVP16" s="251"/>
      <c r="TVQ16" s="251"/>
      <c r="TVR16" s="251"/>
      <c r="TVS16" s="251"/>
      <c r="TVT16" s="251"/>
      <c r="TVU16" s="251"/>
      <c r="TVV16" s="251"/>
      <c r="TVW16" s="251"/>
      <c r="TVX16" s="251"/>
      <c r="TVY16" s="251"/>
      <c r="TVZ16" s="251"/>
      <c r="TWA16" s="251"/>
      <c r="TWB16" s="251"/>
      <c r="TWC16" s="251"/>
      <c r="TWD16" s="251"/>
      <c r="TWE16" s="251"/>
      <c r="TWF16" s="251"/>
      <c r="TWG16" s="251"/>
      <c r="TWH16" s="251"/>
      <c r="TWI16" s="251"/>
      <c r="TWJ16" s="251"/>
      <c r="TWK16" s="251"/>
      <c r="TWL16" s="251"/>
      <c r="TWM16" s="251"/>
      <c r="TWN16" s="251"/>
      <c r="TWO16" s="251"/>
      <c r="TWP16" s="251"/>
      <c r="TWQ16" s="251"/>
      <c r="TWR16" s="251"/>
      <c r="TWS16" s="251"/>
      <c r="TWT16" s="251"/>
      <c r="TWU16" s="251"/>
      <c r="TWV16" s="251"/>
      <c r="TWW16" s="251"/>
      <c r="TWX16" s="251"/>
      <c r="TWY16" s="251"/>
      <c r="TWZ16" s="251"/>
      <c r="TXA16" s="251"/>
      <c r="TXB16" s="251"/>
      <c r="TXC16" s="251"/>
      <c r="TXD16" s="251"/>
      <c r="TXE16" s="251"/>
      <c r="TXF16" s="251"/>
      <c r="TXG16" s="251"/>
      <c r="TXH16" s="251"/>
      <c r="TXI16" s="251"/>
      <c r="TXJ16" s="251"/>
      <c r="TXK16" s="251"/>
      <c r="TXL16" s="251"/>
      <c r="TXM16" s="251"/>
      <c r="TXN16" s="251"/>
      <c r="TXO16" s="251"/>
      <c r="TXP16" s="251"/>
      <c r="TXQ16" s="251"/>
      <c r="TXR16" s="251"/>
      <c r="TXS16" s="251"/>
      <c r="TXT16" s="251"/>
      <c r="TXU16" s="251"/>
      <c r="TXV16" s="251"/>
      <c r="TXW16" s="251"/>
      <c r="TXX16" s="251"/>
      <c r="TXY16" s="251"/>
      <c r="TXZ16" s="251"/>
      <c r="TYA16" s="251"/>
      <c r="TYB16" s="251"/>
      <c r="TYC16" s="251"/>
      <c r="TYD16" s="251"/>
      <c r="TYE16" s="251"/>
      <c r="TYF16" s="251"/>
      <c r="TYG16" s="251"/>
      <c r="TYH16" s="251"/>
      <c r="TYI16" s="251"/>
      <c r="TYJ16" s="251"/>
      <c r="TYK16" s="251"/>
      <c r="TYL16" s="251"/>
      <c r="TYM16" s="251"/>
      <c r="TYN16" s="251"/>
      <c r="TYO16" s="251"/>
      <c r="TYP16" s="251"/>
      <c r="TYQ16" s="251"/>
      <c r="TYR16" s="251"/>
      <c r="TYS16" s="251"/>
      <c r="TYT16" s="251"/>
      <c r="TYU16" s="251"/>
      <c r="TYV16" s="251"/>
      <c r="TYW16" s="251"/>
      <c r="TYX16" s="251"/>
      <c r="TYY16" s="251"/>
      <c r="TYZ16" s="251"/>
      <c r="TZA16" s="251"/>
      <c r="TZB16" s="251"/>
      <c r="TZC16" s="251"/>
      <c r="TZD16" s="251"/>
      <c r="TZE16" s="251"/>
      <c r="TZF16" s="251"/>
      <c r="TZG16" s="251"/>
      <c r="TZH16" s="251"/>
      <c r="TZI16" s="251"/>
      <c r="TZJ16" s="251"/>
      <c r="TZK16" s="251"/>
      <c r="TZL16" s="251"/>
      <c r="TZM16" s="251"/>
      <c r="TZN16" s="251"/>
      <c r="TZO16" s="251"/>
      <c r="TZP16" s="251"/>
      <c r="TZQ16" s="251"/>
      <c r="TZR16" s="251"/>
      <c r="TZS16" s="251"/>
      <c r="TZT16" s="251"/>
      <c r="TZU16" s="251"/>
      <c r="TZV16" s="251"/>
      <c r="TZW16" s="251"/>
      <c r="TZX16" s="251"/>
      <c r="TZY16" s="251"/>
      <c r="TZZ16" s="251"/>
      <c r="UAA16" s="251"/>
      <c r="UAB16" s="251"/>
      <c r="UAC16" s="251"/>
      <c r="UAD16" s="251"/>
      <c r="UAE16" s="251"/>
      <c r="UAF16" s="251"/>
      <c r="UAG16" s="251"/>
      <c r="UAH16" s="251"/>
      <c r="UAI16" s="251"/>
      <c r="UAJ16" s="251"/>
      <c r="UAK16" s="251"/>
      <c r="UAL16" s="251"/>
      <c r="UAM16" s="251"/>
      <c r="UAN16" s="251"/>
      <c r="UAO16" s="251"/>
      <c r="UAP16" s="251"/>
      <c r="UAQ16" s="251"/>
      <c r="UAR16" s="251"/>
      <c r="UAS16" s="251"/>
      <c r="UAT16" s="251"/>
      <c r="UAU16" s="251"/>
      <c r="UAV16" s="251"/>
      <c r="UAW16" s="251"/>
      <c r="UAX16" s="251"/>
      <c r="UAY16" s="251"/>
      <c r="UAZ16" s="251"/>
      <c r="UBA16" s="251"/>
      <c r="UBB16" s="251"/>
      <c r="UBC16" s="251"/>
      <c r="UBD16" s="251"/>
      <c r="UBE16" s="251"/>
      <c r="UBF16" s="251"/>
      <c r="UBG16" s="251"/>
      <c r="UBH16" s="251"/>
      <c r="UBI16" s="251"/>
      <c r="UBJ16" s="251"/>
      <c r="UBK16" s="251"/>
      <c r="UBL16" s="251"/>
      <c r="UBM16" s="251"/>
      <c r="UBN16" s="251"/>
      <c r="UBO16" s="251"/>
      <c r="UBP16" s="251"/>
      <c r="UBQ16" s="251"/>
      <c r="UBR16" s="251"/>
      <c r="UBS16" s="251"/>
      <c r="UBT16" s="251"/>
      <c r="UBU16" s="251"/>
      <c r="UBV16" s="251"/>
      <c r="UBW16" s="251"/>
      <c r="UBX16" s="251"/>
      <c r="UBY16" s="251"/>
      <c r="UBZ16" s="251"/>
      <c r="UCA16" s="251"/>
      <c r="UCB16" s="251"/>
      <c r="UCC16" s="251"/>
      <c r="UCD16" s="251"/>
      <c r="UCE16" s="251"/>
      <c r="UCF16" s="251"/>
      <c r="UCG16" s="251"/>
      <c r="UCH16" s="251"/>
      <c r="UCI16" s="251"/>
      <c r="UCJ16" s="251"/>
      <c r="UCK16" s="251"/>
      <c r="UCL16" s="251"/>
      <c r="UCM16" s="251"/>
      <c r="UCN16" s="251"/>
      <c r="UCO16" s="251"/>
      <c r="UCP16" s="251"/>
      <c r="UCQ16" s="251"/>
      <c r="UCR16" s="251"/>
      <c r="UCS16" s="251"/>
      <c r="UCT16" s="251"/>
      <c r="UCU16" s="251"/>
      <c r="UCV16" s="251"/>
      <c r="UCW16" s="251"/>
      <c r="UCX16" s="251"/>
      <c r="UCY16" s="251"/>
      <c r="UCZ16" s="251"/>
      <c r="UDA16" s="251"/>
      <c r="UDB16" s="251"/>
      <c r="UDC16" s="251"/>
      <c r="UDD16" s="251"/>
      <c r="UDE16" s="251"/>
      <c r="UDF16" s="251"/>
      <c r="UDG16" s="251"/>
      <c r="UDH16" s="251"/>
      <c r="UDI16" s="251"/>
      <c r="UDJ16" s="251"/>
      <c r="UDK16" s="251"/>
      <c r="UDL16" s="251"/>
      <c r="UDM16" s="251"/>
      <c r="UDN16" s="251"/>
      <c r="UDO16" s="251"/>
      <c r="UDP16" s="251"/>
      <c r="UDQ16" s="251"/>
      <c r="UDR16" s="251"/>
      <c r="UDS16" s="251"/>
      <c r="UDT16" s="251"/>
      <c r="UDU16" s="251"/>
      <c r="UDV16" s="251"/>
      <c r="UDW16" s="251"/>
      <c r="UDX16" s="251"/>
      <c r="UDY16" s="251"/>
      <c r="UDZ16" s="251"/>
      <c r="UEA16" s="251"/>
      <c r="UEB16" s="251"/>
      <c r="UEC16" s="251"/>
      <c r="UED16" s="251"/>
      <c r="UEE16" s="251"/>
      <c r="UEF16" s="251"/>
      <c r="UEG16" s="251"/>
      <c r="UEH16" s="251"/>
      <c r="UEI16" s="251"/>
      <c r="UEJ16" s="251"/>
      <c r="UEK16" s="251"/>
      <c r="UEL16" s="251"/>
      <c r="UEM16" s="251"/>
      <c r="UEN16" s="251"/>
      <c r="UEO16" s="251"/>
      <c r="UEP16" s="251"/>
      <c r="UEQ16" s="251"/>
      <c r="UER16" s="251"/>
      <c r="UES16" s="251"/>
      <c r="UET16" s="251"/>
      <c r="UEU16" s="251"/>
      <c r="UEV16" s="251"/>
      <c r="UEW16" s="251"/>
      <c r="UEX16" s="251"/>
      <c r="UEY16" s="251"/>
      <c r="UEZ16" s="251"/>
      <c r="UFA16" s="251"/>
      <c r="UFB16" s="251"/>
      <c r="UFC16" s="251"/>
      <c r="UFD16" s="251"/>
      <c r="UFE16" s="251"/>
      <c r="UFF16" s="251"/>
      <c r="UFG16" s="251"/>
      <c r="UFH16" s="251"/>
      <c r="UFI16" s="251"/>
      <c r="UFJ16" s="251"/>
      <c r="UFK16" s="251"/>
      <c r="UFL16" s="251"/>
      <c r="UFM16" s="251"/>
      <c r="UFN16" s="251"/>
      <c r="UFO16" s="251"/>
      <c r="UFP16" s="251"/>
      <c r="UFQ16" s="251"/>
      <c r="UFR16" s="251"/>
      <c r="UFS16" s="251"/>
      <c r="UFT16" s="251"/>
      <c r="UFU16" s="251"/>
      <c r="UFV16" s="251"/>
      <c r="UFW16" s="251"/>
      <c r="UFX16" s="251"/>
      <c r="UFY16" s="251"/>
      <c r="UFZ16" s="251"/>
      <c r="UGA16" s="251"/>
      <c r="UGB16" s="251"/>
      <c r="UGC16" s="251"/>
      <c r="UGD16" s="251"/>
      <c r="UGE16" s="251"/>
      <c r="UGF16" s="251"/>
      <c r="UGG16" s="251"/>
      <c r="UGH16" s="251"/>
      <c r="UGI16" s="251"/>
      <c r="UGJ16" s="251"/>
      <c r="UGK16" s="251"/>
      <c r="UGL16" s="251"/>
      <c r="UGM16" s="251"/>
      <c r="UGN16" s="251"/>
      <c r="UGO16" s="251"/>
      <c r="UGP16" s="251"/>
      <c r="UGQ16" s="251"/>
      <c r="UGR16" s="251"/>
      <c r="UGS16" s="251"/>
      <c r="UGT16" s="251"/>
      <c r="UGU16" s="251"/>
      <c r="UGV16" s="251"/>
      <c r="UGW16" s="251"/>
      <c r="UGX16" s="251"/>
      <c r="UGY16" s="251"/>
      <c r="UGZ16" s="251"/>
      <c r="UHA16" s="251"/>
      <c r="UHB16" s="251"/>
      <c r="UHC16" s="251"/>
      <c r="UHD16" s="251"/>
      <c r="UHE16" s="251"/>
      <c r="UHF16" s="251"/>
      <c r="UHG16" s="251"/>
      <c r="UHH16" s="251"/>
      <c r="UHI16" s="251"/>
      <c r="UHJ16" s="251"/>
      <c r="UHK16" s="251"/>
      <c r="UHL16" s="251"/>
      <c r="UHM16" s="251"/>
      <c r="UHN16" s="251"/>
      <c r="UHO16" s="251"/>
      <c r="UHP16" s="251"/>
      <c r="UHQ16" s="251"/>
      <c r="UHR16" s="251"/>
      <c r="UHS16" s="251"/>
      <c r="UHT16" s="251"/>
      <c r="UHU16" s="251"/>
      <c r="UHV16" s="251"/>
      <c r="UHW16" s="251"/>
      <c r="UHX16" s="251"/>
      <c r="UHY16" s="251"/>
      <c r="UHZ16" s="251"/>
      <c r="UIA16" s="251"/>
      <c r="UIB16" s="251"/>
      <c r="UIC16" s="251"/>
      <c r="UID16" s="251"/>
      <c r="UIE16" s="251"/>
      <c r="UIF16" s="251"/>
      <c r="UIG16" s="251"/>
      <c r="UIH16" s="251"/>
      <c r="UII16" s="251"/>
      <c r="UIJ16" s="251"/>
      <c r="UIK16" s="251"/>
      <c r="UIL16" s="251"/>
      <c r="UIM16" s="251"/>
      <c r="UIN16" s="251"/>
      <c r="UIO16" s="251"/>
      <c r="UIP16" s="251"/>
      <c r="UIQ16" s="251"/>
      <c r="UIR16" s="251"/>
      <c r="UIS16" s="251"/>
      <c r="UIT16" s="251"/>
      <c r="UIU16" s="251"/>
      <c r="UIV16" s="251"/>
      <c r="UIW16" s="251"/>
      <c r="UIX16" s="251"/>
      <c r="UIY16" s="251"/>
      <c r="UIZ16" s="251"/>
      <c r="UJA16" s="251"/>
      <c r="UJB16" s="251"/>
      <c r="UJC16" s="251"/>
      <c r="UJD16" s="251"/>
      <c r="UJE16" s="251"/>
      <c r="UJF16" s="251"/>
      <c r="UJG16" s="251"/>
      <c r="UJH16" s="251"/>
      <c r="UJI16" s="251"/>
      <c r="UJJ16" s="251"/>
      <c r="UJK16" s="251"/>
      <c r="UJL16" s="251"/>
      <c r="UJM16" s="251"/>
      <c r="UJN16" s="251"/>
      <c r="UJO16" s="251"/>
      <c r="UJP16" s="251"/>
      <c r="UJQ16" s="251"/>
      <c r="UJR16" s="251"/>
      <c r="UJS16" s="251"/>
      <c r="UJT16" s="251"/>
      <c r="UJU16" s="251"/>
      <c r="UJV16" s="251"/>
      <c r="UJW16" s="251"/>
      <c r="UJX16" s="251"/>
      <c r="UJY16" s="251"/>
      <c r="UJZ16" s="251"/>
      <c r="UKA16" s="251"/>
      <c r="UKB16" s="251"/>
      <c r="UKC16" s="251"/>
      <c r="UKD16" s="251"/>
      <c r="UKE16" s="251"/>
      <c r="UKF16" s="251"/>
      <c r="UKG16" s="251"/>
      <c r="UKH16" s="251"/>
      <c r="UKI16" s="251"/>
      <c r="UKJ16" s="251"/>
      <c r="UKK16" s="251"/>
      <c r="UKL16" s="251"/>
      <c r="UKM16" s="251"/>
      <c r="UKN16" s="251"/>
      <c r="UKO16" s="251"/>
      <c r="UKP16" s="251"/>
      <c r="UKQ16" s="251"/>
      <c r="UKR16" s="251"/>
      <c r="UKS16" s="251"/>
      <c r="UKT16" s="251"/>
      <c r="UKU16" s="251"/>
      <c r="UKV16" s="251"/>
      <c r="UKW16" s="251"/>
      <c r="UKX16" s="251"/>
      <c r="UKY16" s="251"/>
      <c r="UKZ16" s="251"/>
      <c r="ULA16" s="251"/>
      <c r="ULB16" s="251"/>
      <c r="ULC16" s="251"/>
      <c r="ULD16" s="251"/>
      <c r="ULE16" s="251"/>
      <c r="ULF16" s="251"/>
      <c r="ULG16" s="251"/>
      <c r="ULH16" s="251"/>
      <c r="ULI16" s="251"/>
      <c r="ULJ16" s="251"/>
      <c r="ULK16" s="251"/>
      <c r="ULL16" s="251"/>
      <c r="ULM16" s="251"/>
      <c r="ULN16" s="251"/>
      <c r="ULO16" s="251"/>
      <c r="ULP16" s="251"/>
      <c r="ULQ16" s="251"/>
      <c r="ULR16" s="251"/>
      <c r="ULS16" s="251"/>
      <c r="ULT16" s="251"/>
      <c r="ULU16" s="251"/>
      <c r="ULV16" s="251"/>
      <c r="ULW16" s="251"/>
      <c r="ULX16" s="251"/>
      <c r="ULY16" s="251"/>
      <c r="ULZ16" s="251"/>
      <c r="UMA16" s="251"/>
      <c r="UMB16" s="251"/>
      <c r="UMC16" s="251"/>
      <c r="UMD16" s="251"/>
      <c r="UME16" s="251"/>
      <c r="UMF16" s="251"/>
      <c r="UMG16" s="251"/>
      <c r="UMH16" s="251"/>
      <c r="UMI16" s="251"/>
      <c r="UMJ16" s="251"/>
      <c r="UMK16" s="251"/>
      <c r="UML16" s="251"/>
      <c r="UMM16" s="251"/>
      <c r="UMN16" s="251"/>
      <c r="UMO16" s="251"/>
      <c r="UMP16" s="251"/>
      <c r="UMQ16" s="251"/>
      <c r="UMR16" s="251"/>
      <c r="UMS16" s="251"/>
      <c r="UMT16" s="251"/>
      <c r="UMU16" s="251"/>
      <c r="UMV16" s="251"/>
      <c r="UMW16" s="251"/>
      <c r="UMX16" s="251"/>
      <c r="UMY16" s="251"/>
      <c r="UMZ16" s="251"/>
      <c r="UNA16" s="251"/>
      <c r="UNB16" s="251"/>
      <c r="UNC16" s="251"/>
      <c r="UND16" s="251"/>
      <c r="UNE16" s="251"/>
      <c r="UNF16" s="251"/>
      <c r="UNG16" s="251"/>
      <c r="UNH16" s="251"/>
      <c r="UNI16" s="251"/>
      <c r="UNJ16" s="251"/>
      <c r="UNK16" s="251"/>
      <c r="UNL16" s="251"/>
      <c r="UNM16" s="251"/>
      <c r="UNN16" s="251"/>
      <c r="UNO16" s="251"/>
      <c r="UNP16" s="251"/>
      <c r="UNQ16" s="251"/>
      <c r="UNR16" s="251"/>
      <c r="UNS16" s="251"/>
      <c r="UNT16" s="251"/>
      <c r="UNU16" s="251"/>
      <c r="UNV16" s="251"/>
      <c r="UNW16" s="251"/>
      <c r="UNX16" s="251"/>
      <c r="UNY16" s="251"/>
      <c r="UNZ16" s="251"/>
      <c r="UOA16" s="251"/>
      <c r="UOB16" s="251"/>
      <c r="UOC16" s="251"/>
      <c r="UOD16" s="251"/>
      <c r="UOE16" s="251"/>
      <c r="UOF16" s="251"/>
      <c r="UOG16" s="251"/>
      <c r="UOH16" s="251"/>
      <c r="UOI16" s="251"/>
      <c r="UOJ16" s="251"/>
      <c r="UOK16" s="251"/>
      <c r="UOL16" s="251"/>
      <c r="UOM16" s="251"/>
      <c r="UON16" s="251"/>
      <c r="UOO16" s="251"/>
      <c r="UOP16" s="251"/>
      <c r="UOQ16" s="251"/>
      <c r="UOR16" s="251"/>
      <c r="UOS16" s="251"/>
      <c r="UOT16" s="251"/>
      <c r="UOU16" s="251"/>
      <c r="UOV16" s="251"/>
      <c r="UOW16" s="251"/>
      <c r="UOX16" s="251"/>
      <c r="UOY16" s="251"/>
      <c r="UOZ16" s="251"/>
      <c r="UPA16" s="251"/>
      <c r="UPB16" s="251"/>
      <c r="UPC16" s="251"/>
      <c r="UPD16" s="251"/>
      <c r="UPE16" s="251"/>
      <c r="UPF16" s="251"/>
      <c r="UPG16" s="251"/>
      <c r="UPH16" s="251"/>
      <c r="UPI16" s="251"/>
      <c r="UPJ16" s="251"/>
      <c r="UPK16" s="251"/>
      <c r="UPL16" s="251"/>
      <c r="UPM16" s="251"/>
      <c r="UPN16" s="251"/>
      <c r="UPO16" s="251"/>
      <c r="UPP16" s="251"/>
      <c r="UPQ16" s="251"/>
      <c r="UPR16" s="251"/>
      <c r="UPS16" s="251"/>
      <c r="UPT16" s="251"/>
      <c r="UPU16" s="251"/>
      <c r="UPV16" s="251"/>
      <c r="UPW16" s="251"/>
      <c r="UPX16" s="251"/>
      <c r="UPY16" s="251"/>
      <c r="UPZ16" s="251"/>
      <c r="UQA16" s="251"/>
      <c r="UQB16" s="251"/>
      <c r="UQC16" s="251"/>
      <c r="UQD16" s="251"/>
      <c r="UQE16" s="251"/>
      <c r="UQF16" s="251"/>
      <c r="UQG16" s="251"/>
      <c r="UQH16" s="251"/>
      <c r="UQI16" s="251"/>
      <c r="UQJ16" s="251"/>
      <c r="UQK16" s="251"/>
      <c r="UQL16" s="251"/>
      <c r="UQM16" s="251"/>
      <c r="UQN16" s="251"/>
      <c r="UQO16" s="251"/>
      <c r="UQP16" s="251"/>
      <c r="UQQ16" s="251"/>
      <c r="UQR16" s="251"/>
      <c r="UQS16" s="251"/>
      <c r="UQT16" s="251"/>
      <c r="UQU16" s="251"/>
      <c r="UQV16" s="251"/>
      <c r="UQW16" s="251"/>
      <c r="UQX16" s="251"/>
      <c r="UQY16" s="251"/>
      <c r="UQZ16" s="251"/>
      <c r="URA16" s="251"/>
      <c r="URB16" s="251"/>
      <c r="URC16" s="251"/>
      <c r="URD16" s="251"/>
      <c r="URE16" s="251"/>
      <c r="URF16" s="251"/>
      <c r="URG16" s="251"/>
      <c r="URH16" s="251"/>
      <c r="URI16" s="251"/>
      <c r="URJ16" s="251"/>
      <c r="URK16" s="251"/>
      <c r="URL16" s="251"/>
      <c r="URM16" s="251"/>
      <c r="URN16" s="251"/>
      <c r="URO16" s="251"/>
      <c r="URP16" s="251"/>
      <c r="URQ16" s="251"/>
      <c r="URR16" s="251"/>
      <c r="URS16" s="251"/>
      <c r="URT16" s="251"/>
      <c r="URU16" s="251"/>
      <c r="URV16" s="251"/>
      <c r="URW16" s="251"/>
      <c r="URX16" s="251"/>
      <c r="URY16" s="251"/>
      <c r="URZ16" s="251"/>
      <c r="USA16" s="251"/>
      <c r="USB16" s="251"/>
      <c r="USC16" s="251"/>
      <c r="USD16" s="251"/>
      <c r="USE16" s="251"/>
      <c r="USF16" s="251"/>
      <c r="USG16" s="251"/>
      <c r="USH16" s="251"/>
      <c r="USI16" s="251"/>
      <c r="USJ16" s="251"/>
      <c r="USK16" s="251"/>
      <c r="USL16" s="251"/>
      <c r="USM16" s="251"/>
      <c r="USN16" s="251"/>
      <c r="USO16" s="251"/>
      <c r="USP16" s="251"/>
      <c r="USQ16" s="251"/>
      <c r="USR16" s="251"/>
      <c r="USS16" s="251"/>
      <c r="UST16" s="251"/>
      <c r="USU16" s="251"/>
      <c r="USV16" s="251"/>
      <c r="USW16" s="251"/>
      <c r="USX16" s="251"/>
      <c r="USY16" s="251"/>
      <c r="USZ16" s="251"/>
      <c r="UTA16" s="251"/>
      <c r="UTB16" s="251"/>
      <c r="UTC16" s="251"/>
      <c r="UTD16" s="251"/>
      <c r="UTE16" s="251"/>
      <c r="UTF16" s="251"/>
      <c r="UTG16" s="251"/>
      <c r="UTH16" s="251"/>
      <c r="UTI16" s="251"/>
      <c r="UTJ16" s="251"/>
      <c r="UTK16" s="251"/>
      <c r="UTL16" s="251"/>
      <c r="UTM16" s="251"/>
      <c r="UTN16" s="251"/>
      <c r="UTO16" s="251"/>
      <c r="UTP16" s="251"/>
      <c r="UTQ16" s="251"/>
      <c r="UTR16" s="251"/>
      <c r="UTS16" s="251"/>
      <c r="UTT16" s="251"/>
      <c r="UTU16" s="251"/>
      <c r="UTV16" s="251"/>
      <c r="UTW16" s="251"/>
      <c r="UTX16" s="251"/>
      <c r="UTY16" s="251"/>
      <c r="UTZ16" s="251"/>
      <c r="UUA16" s="251"/>
      <c r="UUB16" s="251"/>
      <c r="UUC16" s="251"/>
      <c r="UUD16" s="251"/>
      <c r="UUE16" s="251"/>
      <c r="UUF16" s="251"/>
      <c r="UUG16" s="251"/>
      <c r="UUH16" s="251"/>
      <c r="UUI16" s="251"/>
      <c r="UUJ16" s="251"/>
      <c r="UUK16" s="251"/>
      <c r="UUL16" s="251"/>
      <c r="UUM16" s="251"/>
      <c r="UUN16" s="251"/>
      <c r="UUO16" s="251"/>
      <c r="UUP16" s="251"/>
      <c r="UUQ16" s="251"/>
      <c r="UUR16" s="251"/>
      <c r="UUS16" s="251"/>
      <c r="UUT16" s="251"/>
      <c r="UUU16" s="251"/>
      <c r="UUV16" s="251"/>
      <c r="UUW16" s="251"/>
      <c r="UUX16" s="251"/>
      <c r="UUY16" s="251"/>
      <c r="UUZ16" s="251"/>
      <c r="UVA16" s="251"/>
      <c r="UVB16" s="251"/>
      <c r="UVC16" s="251"/>
      <c r="UVD16" s="251"/>
      <c r="UVE16" s="251"/>
      <c r="UVF16" s="251"/>
      <c r="UVG16" s="251"/>
      <c r="UVH16" s="251"/>
      <c r="UVI16" s="251"/>
      <c r="UVJ16" s="251"/>
      <c r="UVK16" s="251"/>
      <c r="UVL16" s="251"/>
      <c r="UVM16" s="251"/>
      <c r="UVN16" s="251"/>
      <c r="UVO16" s="251"/>
      <c r="UVP16" s="251"/>
      <c r="UVQ16" s="251"/>
      <c r="UVR16" s="251"/>
      <c r="UVS16" s="251"/>
      <c r="UVT16" s="251"/>
      <c r="UVU16" s="251"/>
      <c r="UVV16" s="251"/>
      <c r="UVW16" s="251"/>
      <c r="UVX16" s="251"/>
      <c r="UVY16" s="251"/>
      <c r="UVZ16" s="251"/>
      <c r="UWA16" s="251"/>
      <c r="UWB16" s="251"/>
      <c r="UWC16" s="251"/>
      <c r="UWD16" s="251"/>
      <c r="UWE16" s="251"/>
      <c r="UWF16" s="251"/>
      <c r="UWG16" s="251"/>
      <c r="UWH16" s="251"/>
      <c r="UWI16" s="251"/>
      <c r="UWJ16" s="251"/>
      <c r="UWK16" s="251"/>
      <c r="UWL16" s="251"/>
      <c r="UWM16" s="251"/>
      <c r="UWN16" s="251"/>
      <c r="UWO16" s="251"/>
      <c r="UWP16" s="251"/>
      <c r="UWQ16" s="251"/>
      <c r="UWR16" s="251"/>
      <c r="UWS16" s="251"/>
      <c r="UWT16" s="251"/>
      <c r="UWU16" s="251"/>
      <c r="UWV16" s="251"/>
      <c r="UWW16" s="251"/>
      <c r="UWX16" s="251"/>
      <c r="UWY16" s="251"/>
      <c r="UWZ16" s="251"/>
      <c r="UXA16" s="251"/>
      <c r="UXB16" s="251"/>
      <c r="UXC16" s="251"/>
      <c r="UXD16" s="251"/>
      <c r="UXE16" s="251"/>
      <c r="UXF16" s="251"/>
      <c r="UXG16" s="251"/>
      <c r="UXH16" s="251"/>
      <c r="UXI16" s="251"/>
      <c r="UXJ16" s="251"/>
      <c r="UXK16" s="251"/>
      <c r="UXL16" s="251"/>
      <c r="UXM16" s="251"/>
      <c r="UXN16" s="251"/>
      <c r="UXO16" s="251"/>
      <c r="UXP16" s="251"/>
      <c r="UXQ16" s="251"/>
      <c r="UXR16" s="251"/>
      <c r="UXS16" s="251"/>
      <c r="UXT16" s="251"/>
      <c r="UXU16" s="251"/>
      <c r="UXV16" s="251"/>
      <c r="UXW16" s="251"/>
      <c r="UXX16" s="251"/>
      <c r="UXY16" s="251"/>
      <c r="UXZ16" s="251"/>
      <c r="UYA16" s="251"/>
      <c r="UYB16" s="251"/>
      <c r="UYC16" s="251"/>
      <c r="UYD16" s="251"/>
      <c r="UYE16" s="251"/>
      <c r="UYF16" s="251"/>
      <c r="UYG16" s="251"/>
      <c r="UYH16" s="251"/>
      <c r="UYI16" s="251"/>
      <c r="UYJ16" s="251"/>
      <c r="UYK16" s="251"/>
      <c r="UYL16" s="251"/>
      <c r="UYM16" s="251"/>
      <c r="UYN16" s="251"/>
      <c r="UYO16" s="251"/>
      <c r="UYP16" s="251"/>
      <c r="UYQ16" s="251"/>
      <c r="UYR16" s="251"/>
      <c r="UYS16" s="251"/>
      <c r="UYT16" s="251"/>
      <c r="UYU16" s="251"/>
      <c r="UYV16" s="251"/>
      <c r="UYW16" s="251"/>
      <c r="UYX16" s="251"/>
      <c r="UYY16" s="251"/>
      <c r="UYZ16" s="251"/>
      <c r="UZA16" s="251"/>
      <c r="UZB16" s="251"/>
      <c r="UZC16" s="251"/>
      <c r="UZD16" s="251"/>
      <c r="UZE16" s="251"/>
      <c r="UZF16" s="251"/>
      <c r="UZG16" s="251"/>
      <c r="UZH16" s="251"/>
      <c r="UZI16" s="251"/>
      <c r="UZJ16" s="251"/>
      <c r="UZK16" s="251"/>
      <c r="UZL16" s="251"/>
      <c r="UZM16" s="251"/>
      <c r="UZN16" s="251"/>
      <c r="UZO16" s="251"/>
      <c r="UZP16" s="251"/>
      <c r="UZQ16" s="251"/>
      <c r="UZR16" s="251"/>
      <c r="UZS16" s="251"/>
      <c r="UZT16" s="251"/>
      <c r="UZU16" s="251"/>
      <c r="UZV16" s="251"/>
      <c r="UZW16" s="251"/>
      <c r="UZX16" s="251"/>
      <c r="UZY16" s="251"/>
      <c r="UZZ16" s="251"/>
      <c r="VAA16" s="251"/>
      <c r="VAB16" s="251"/>
      <c r="VAC16" s="251"/>
      <c r="VAD16" s="251"/>
      <c r="VAE16" s="251"/>
      <c r="VAF16" s="251"/>
      <c r="VAG16" s="251"/>
      <c r="VAH16" s="251"/>
      <c r="VAI16" s="251"/>
      <c r="VAJ16" s="251"/>
      <c r="VAK16" s="251"/>
      <c r="VAL16" s="251"/>
      <c r="VAM16" s="251"/>
      <c r="VAN16" s="251"/>
      <c r="VAO16" s="251"/>
      <c r="VAP16" s="251"/>
      <c r="VAQ16" s="251"/>
      <c r="VAR16" s="251"/>
      <c r="VAS16" s="251"/>
      <c r="VAT16" s="251"/>
      <c r="VAU16" s="251"/>
      <c r="VAV16" s="251"/>
      <c r="VAW16" s="251"/>
      <c r="VAX16" s="251"/>
      <c r="VAY16" s="251"/>
      <c r="VAZ16" s="251"/>
      <c r="VBA16" s="251"/>
      <c r="VBB16" s="251"/>
      <c r="VBC16" s="251"/>
      <c r="VBD16" s="251"/>
      <c r="VBE16" s="251"/>
      <c r="VBF16" s="251"/>
      <c r="VBG16" s="251"/>
      <c r="VBH16" s="251"/>
      <c r="VBI16" s="251"/>
      <c r="VBJ16" s="251"/>
      <c r="VBK16" s="251"/>
      <c r="VBL16" s="251"/>
      <c r="VBM16" s="251"/>
      <c r="VBN16" s="251"/>
      <c r="VBO16" s="251"/>
      <c r="VBP16" s="251"/>
      <c r="VBQ16" s="251"/>
      <c r="VBR16" s="251"/>
      <c r="VBS16" s="251"/>
      <c r="VBT16" s="251"/>
      <c r="VBU16" s="251"/>
      <c r="VBV16" s="251"/>
      <c r="VBW16" s="251"/>
      <c r="VBX16" s="251"/>
      <c r="VBY16" s="251"/>
      <c r="VBZ16" s="251"/>
      <c r="VCA16" s="251"/>
      <c r="VCB16" s="251"/>
      <c r="VCC16" s="251"/>
      <c r="VCD16" s="251"/>
      <c r="VCE16" s="251"/>
      <c r="VCF16" s="251"/>
      <c r="VCG16" s="251"/>
      <c r="VCH16" s="251"/>
      <c r="VCI16" s="251"/>
      <c r="VCJ16" s="251"/>
      <c r="VCK16" s="251"/>
      <c r="VCL16" s="251"/>
      <c r="VCM16" s="251"/>
      <c r="VCN16" s="251"/>
      <c r="VCO16" s="251"/>
      <c r="VCP16" s="251"/>
      <c r="VCQ16" s="251"/>
      <c r="VCR16" s="251"/>
      <c r="VCS16" s="251"/>
      <c r="VCT16" s="251"/>
      <c r="VCU16" s="251"/>
      <c r="VCV16" s="251"/>
      <c r="VCW16" s="251"/>
      <c r="VCX16" s="251"/>
      <c r="VCY16" s="251"/>
      <c r="VCZ16" s="251"/>
      <c r="VDA16" s="251"/>
      <c r="VDB16" s="251"/>
      <c r="VDC16" s="251"/>
      <c r="VDD16" s="251"/>
      <c r="VDE16" s="251"/>
      <c r="VDF16" s="251"/>
      <c r="VDG16" s="251"/>
      <c r="VDH16" s="251"/>
      <c r="VDI16" s="251"/>
      <c r="VDJ16" s="251"/>
      <c r="VDK16" s="251"/>
      <c r="VDL16" s="251"/>
      <c r="VDM16" s="251"/>
      <c r="VDN16" s="251"/>
      <c r="VDO16" s="251"/>
      <c r="VDP16" s="251"/>
      <c r="VDQ16" s="251"/>
      <c r="VDR16" s="251"/>
      <c r="VDS16" s="251"/>
      <c r="VDT16" s="251"/>
      <c r="VDU16" s="251"/>
      <c r="VDV16" s="251"/>
      <c r="VDW16" s="251"/>
      <c r="VDX16" s="251"/>
      <c r="VDY16" s="251"/>
      <c r="VDZ16" s="251"/>
      <c r="VEA16" s="251"/>
      <c r="VEB16" s="251"/>
      <c r="VEC16" s="251"/>
      <c r="VED16" s="251"/>
      <c r="VEE16" s="251"/>
      <c r="VEF16" s="251"/>
      <c r="VEG16" s="251"/>
      <c r="VEH16" s="251"/>
      <c r="VEI16" s="251"/>
      <c r="VEJ16" s="251"/>
      <c r="VEK16" s="251"/>
      <c r="VEL16" s="251"/>
      <c r="VEM16" s="251"/>
      <c r="VEN16" s="251"/>
      <c r="VEO16" s="251"/>
      <c r="VEP16" s="251"/>
      <c r="VEQ16" s="251"/>
      <c r="VER16" s="251"/>
      <c r="VES16" s="251"/>
      <c r="VET16" s="251"/>
      <c r="VEU16" s="251"/>
      <c r="VEV16" s="251"/>
      <c r="VEW16" s="251"/>
      <c r="VEX16" s="251"/>
      <c r="VEY16" s="251"/>
      <c r="VEZ16" s="251"/>
      <c r="VFA16" s="251"/>
      <c r="VFB16" s="251"/>
      <c r="VFC16" s="251"/>
      <c r="VFD16" s="251"/>
      <c r="VFE16" s="251"/>
      <c r="VFF16" s="251"/>
      <c r="VFG16" s="251"/>
      <c r="VFH16" s="251"/>
      <c r="VFI16" s="251"/>
      <c r="VFJ16" s="251"/>
      <c r="VFK16" s="251"/>
      <c r="VFL16" s="251"/>
      <c r="VFM16" s="251"/>
      <c r="VFN16" s="251"/>
      <c r="VFO16" s="251"/>
      <c r="VFP16" s="251"/>
      <c r="VFQ16" s="251"/>
      <c r="VFR16" s="251"/>
      <c r="VFS16" s="251"/>
      <c r="VFT16" s="251"/>
      <c r="VFU16" s="251"/>
      <c r="VFV16" s="251"/>
      <c r="VFW16" s="251"/>
      <c r="VFX16" s="251"/>
      <c r="VFY16" s="251"/>
      <c r="VFZ16" s="251"/>
      <c r="VGA16" s="251"/>
      <c r="VGB16" s="251"/>
      <c r="VGC16" s="251"/>
      <c r="VGD16" s="251"/>
      <c r="VGE16" s="251"/>
      <c r="VGF16" s="251"/>
      <c r="VGG16" s="251"/>
      <c r="VGH16" s="251"/>
      <c r="VGI16" s="251"/>
      <c r="VGJ16" s="251"/>
      <c r="VGK16" s="251"/>
      <c r="VGL16" s="251"/>
      <c r="VGM16" s="251"/>
      <c r="VGN16" s="251"/>
      <c r="VGO16" s="251"/>
      <c r="VGP16" s="251"/>
      <c r="VGQ16" s="251"/>
      <c r="VGR16" s="251"/>
      <c r="VGS16" s="251"/>
      <c r="VGT16" s="251"/>
      <c r="VGU16" s="251"/>
      <c r="VGV16" s="251"/>
      <c r="VGW16" s="251"/>
      <c r="VGX16" s="251"/>
      <c r="VGY16" s="251"/>
      <c r="VGZ16" s="251"/>
      <c r="VHA16" s="251"/>
      <c r="VHB16" s="251"/>
      <c r="VHC16" s="251"/>
      <c r="VHD16" s="251"/>
      <c r="VHE16" s="251"/>
      <c r="VHF16" s="251"/>
      <c r="VHG16" s="251"/>
      <c r="VHH16" s="251"/>
      <c r="VHI16" s="251"/>
      <c r="VHJ16" s="251"/>
      <c r="VHK16" s="251"/>
      <c r="VHL16" s="251"/>
      <c r="VHM16" s="251"/>
      <c r="VHN16" s="251"/>
      <c r="VHO16" s="251"/>
      <c r="VHP16" s="251"/>
      <c r="VHQ16" s="251"/>
      <c r="VHR16" s="251"/>
      <c r="VHS16" s="251"/>
      <c r="VHT16" s="251"/>
      <c r="VHU16" s="251"/>
      <c r="VHV16" s="251"/>
      <c r="VHW16" s="251"/>
      <c r="VHX16" s="251"/>
      <c r="VHY16" s="251"/>
      <c r="VHZ16" s="251"/>
      <c r="VIA16" s="251"/>
      <c r="VIB16" s="251"/>
      <c r="VIC16" s="251"/>
      <c r="VID16" s="251"/>
      <c r="VIE16" s="251"/>
      <c r="VIF16" s="251"/>
      <c r="VIG16" s="251"/>
      <c r="VIH16" s="251"/>
      <c r="VII16" s="251"/>
      <c r="VIJ16" s="251"/>
      <c r="VIK16" s="251"/>
      <c r="VIL16" s="251"/>
      <c r="VIM16" s="251"/>
      <c r="VIN16" s="251"/>
      <c r="VIO16" s="251"/>
      <c r="VIP16" s="251"/>
      <c r="VIQ16" s="251"/>
      <c r="VIR16" s="251"/>
      <c r="VIS16" s="251"/>
      <c r="VIT16" s="251"/>
      <c r="VIU16" s="251"/>
      <c r="VIV16" s="251"/>
      <c r="VIW16" s="251"/>
      <c r="VIX16" s="251"/>
      <c r="VIY16" s="251"/>
      <c r="VIZ16" s="251"/>
      <c r="VJA16" s="251"/>
      <c r="VJB16" s="251"/>
      <c r="VJC16" s="251"/>
      <c r="VJD16" s="251"/>
      <c r="VJE16" s="251"/>
      <c r="VJF16" s="251"/>
      <c r="VJG16" s="251"/>
      <c r="VJH16" s="251"/>
      <c r="VJI16" s="251"/>
      <c r="VJJ16" s="251"/>
      <c r="VJK16" s="251"/>
      <c r="VJL16" s="251"/>
      <c r="VJM16" s="251"/>
      <c r="VJN16" s="251"/>
      <c r="VJO16" s="251"/>
      <c r="VJP16" s="251"/>
      <c r="VJQ16" s="251"/>
      <c r="VJR16" s="251"/>
      <c r="VJS16" s="251"/>
      <c r="VJT16" s="251"/>
      <c r="VJU16" s="251"/>
      <c r="VJV16" s="251"/>
      <c r="VJW16" s="251"/>
      <c r="VJX16" s="251"/>
      <c r="VJY16" s="251"/>
      <c r="VJZ16" s="251"/>
      <c r="VKA16" s="251"/>
      <c r="VKB16" s="251"/>
      <c r="VKC16" s="251"/>
      <c r="VKD16" s="251"/>
      <c r="VKE16" s="251"/>
      <c r="VKF16" s="251"/>
      <c r="VKG16" s="251"/>
      <c r="VKH16" s="251"/>
      <c r="VKI16" s="251"/>
      <c r="VKJ16" s="251"/>
      <c r="VKK16" s="251"/>
      <c r="VKL16" s="251"/>
      <c r="VKM16" s="251"/>
      <c r="VKN16" s="251"/>
      <c r="VKO16" s="251"/>
      <c r="VKP16" s="251"/>
      <c r="VKQ16" s="251"/>
      <c r="VKR16" s="251"/>
      <c r="VKS16" s="251"/>
      <c r="VKT16" s="251"/>
      <c r="VKU16" s="251"/>
      <c r="VKV16" s="251"/>
      <c r="VKW16" s="251"/>
      <c r="VKX16" s="251"/>
      <c r="VKY16" s="251"/>
      <c r="VKZ16" s="251"/>
      <c r="VLA16" s="251"/>
      <c r="VLB16" s="251"/>
      <c r="VLC16" s="251"/>
      <c r="VLD16" s="251"/>
      <c r="VLE16" s="251"/>
      <c r="VLF16" s="251"/>
      <c r="VLG16" s="251"/>
      <c r="VLH16" s="251"/>
      <c r="VLI16" s="251"/>
      <c r="VLJ16" s="251"/>
      <c r="VLK16" s="251"/>
      <c r="VLL16" s="251"/>
      <c r="VLM16" s="251"/>
      <c r="VLN16" s="251"/>
      <c r="VLO16" s="251"/>
      <c r="VLP16" s="251"/>
      <c r="VLQ16" s="251"/>
      <c r="VLR16" s="251"/>
      <c r="VLS16" s="251"/>
      <c r="VLT16" s="251"/>
      <c r="VLU16" s="251"/>
      <c r="VLV16" s="251"/>
      <c r="VLW16" s="251"/>
      <c r="VLX16" s="251"/>
      <c r="VLY16" s="251"/>
      <c r="VLZ16" s="251"/>
      <c r="VMA16" s="251"/>
      <c r="VMB16" s="251"/>
      <c r="VMC16" s="251"/>
      <c r="VMD16" s="251"/>
      <c r="VME16" s="251"/>
      <c r="VMF16" s="251"/>
      <c r="VMG16" s="251"/>
      <c r="VMH16" s="251"/>
      <c r="VMI16" s="251"/>
      <c r="VMJ16" s="251"/>
      <c r="VMK16" s="251"/>
      <c r="VML16" s="251"/>
      <c r="VMM16" s="251"/>
      <c r="VMN16" s="251"/>
      <c r="VMO16" s="251"/>
      <c r="VMP16" s="251"/>
      <c r="VMQ16" s="251"/>
      <c r="VMR16" s="251"/>
      <c r="VMS16" s="251"/>
      <c r="VMT16" s="251"/>
      <c r="VMU16" s="251"/>
      <c r="VMV16" s="251"/>
      <c r="VMW16" s="251"/>
      <c r="VMX16" s="251"/>
      <c r="VMY16" s="251"/>
      <c r="VMZ16" s="251"/>
      <c r="VNA16" s="251"/>
      <c r="VNB16" s="251"/>
      <c r="VNC16" s="251"/>
      <c r="VND16" s="251"/>
      <c r="VNE16" s="251"/>
      <c r="VNF16" s="251"/>
      <c r="VNG16" s="251"/>
      <c r="VNH16" s="251"/>
      <c r="VNI16" s="251"/>
      <c r="VNJ16" s="251"/>
      <c r="VNK16" s="251"/>
      <c r="VNL16" s="251"/>
      <c r="VNM16" s="251"/>
      <c r="VNN16" s="251"/>
      <c r="VNO16" s="251"/>
      <c r="VNP16" s="251"/>
      <c r="VNQ16" s="251"/>
      <c r="VNR16" s="251"/>
      <c r="VNS16" s="251"/>
      <c r="VNT16" s="251"/>
      <c r="VNU16" s="251"/>
      <c r="VNV16" s="251"/>
      <c r="VNW16" s="251"/>
      <c r="VNX16" s="251"/>
      <c r="VNY16" s="251"/>
      <c r="VNZ16" s="251"/>
      <c r="VOA16" s="251"/>
      <c r="VOB16" s="251"/>
      <c r="VOC16" s="251"/>
      <c r="VOD16" s="251"/>
      <c r="VOE16" s="251"/>
      <c r="VOF16" s="251"/>
      <c r="VOG16" s="251"/>
      <c r="VOH16" s="251"/>
      <c r="VOI16" s="251"/>
      <c r="VOJ16" s="251"/>
      <c r="VOK16" s="251"/>
      <c r="VOL16" s="251"/>
      <c r="VOM16" s="251"/>
      <c r="VON16" s="251"/>
      <c r="VOO16" s="251"/>
      <c r="VOP16" s="251"/>
      <c r="VOQ16" s="251"/>
      <c r="VOR16" s="251"/>
      <c r="VOS16" s="251"/>
      <c r="VOT16" s="251"/>
      <c r="VOU16" s="251"/>
      <c r="VOV16" s="251"/>
      <c r="VOW16" s="251"/>
      <c r="VOX16" s="251"/>
      <c r="VOY16" s="251"/>
      <c r="VOZ16" s="251"/>
      <c r="VPA16" s="251"/>
      <c r="VPB16" s="251"/>
      <c r="VPC16" s="251"/>
      <c r="VPD16" s="251"/>
      <c r="VPE16" s="251"/>
      <c r="VPF16" s="251"/>
      <c r="VPG16" s="251"/>
      <c r="VPH16" s="251"/>
      <c r="VPI16" s="251"/>
      <c r="VPJ16" s="251"/>
      <c r="VPK16" s="251"/>
      <c r="VPL16" s="251"/>
      <c r="VPM16" s="251"/>
      <c r="VPN16" s="251"/>
      <c r="VPO16" s="251"/>
      <c r="VPP16" s="251"/>
      <c r="VPQ16" s="251"/>
      <c r="VPR16" s="251"/>
      <c r="VPS16" s="251"/>
      <c r="VPT16" s="251"/>
      <c r="VPU16" s="251"/>
      <c r="VPV16" s="251"/>
      <c r="VPW16" s="251"/>
      <c r="VPX16" s="251"/>
      <c r="VPY16" s="251"/>
      <c r="VPZ16" s="251"/>
      <c r="VQA16" s="251"/>
      <c r="VQB16" s="251"/>
      <c r="VQC16" s="251"/>
      <c r="VQD16" s="251"/>
      <c r="VQE16" s="251"/>
      <c r="VQF16" s="251"/>
      <c r="VQG16" s="251"/>
      <c r="VQH16" s="251"/>
      <c r="VQI16" s="251"/>
      <c r="VQJ16" s="251"/>
      <c r="VQK16" s="251"/>
      <c r="VQL16" s="251"/>
      <c r="VQM16" s="251"/>
      <c r="VQN16" s="251"/>
      <c r="VQO16" s="251"/>
      <c r="VQP16" s="251"/>
      <c r="VQQ16" s="251"/>
      <c r="VQR16" s="251"/>
      <c r="VQS16" s="251"/>
      <c r="VQT16" s="251"/>
      <c r="VQU16" s="251"/>
      <c r="VQV16" s="251"/>
      <c r="VQW16" s="251"/>
      <c r="VQX16" s="251"/>
      <c r="VQY16" s="251"/>
      <c r="VQZ16" s="251"/>
      <c r="VRA16" s="251"/>
      <c r="VRB16" s="251"/>
      <c r="VRC16" s="251"/>
      <c r="VRD16" s="251"/>
      <c r="VRE16" s="251"/>
      <c r="VRF16" s="251"/>
      <c r="VRG16" s="251"/>
      <c r="VRH16" s="251"/>
      <c r="VRI16" s="251"/>
      <c r="VRJ16" s="251"/>
      <c r="VRK16" s="251"/>
      <c r="VRL16" s="251"/>
      <c r="VRM16" s="251"/>
      <c r="VRN16" s="251"/>
      <c r="VRO16" s="251"/>
      <c r="VRP16" s="251"/>
      <c r="VRQ16" s="251"/>
      <c r="VRR16" s="251"/>
      <c r="VRS16" s="251"/>
      <c r="VRT16" s="251"/>
      <c r="VRU16" s="251"/>
      <c r="VRV16" s="251"/>
      <c r="VRW16" s="251"/>
      <c r="VRX16" s="251"/>
      <c r="VRY16" s="251"/>
      <c r="VRZ16" s="251"/>
      <c r="VSA16" s="251"/>
      <c r="VSB16" s="251"/>
      <c r="VSC16" s="251"/>
      <c r="VSD16" s="251"/>
      <c r="VSE16" s="251"/>
      <c r="VSF16" s="251"/>
      <c r="VSG16" s="251"/>
      <c r="VSH16" s="251"/>
      <c r="VSI16" s="251"/>
      <c r="VSJ16" s="251"/>
      <c r="VSK16" s="251"/>
      <c r="VSL16" s="251"/>
      <c r="VSM16" s="251"/>
      <c r="VSN16" s="251"/>
      <c r="VSO16" s="251"/>
      <c r="VSP16" s="251"/>
      <c r="VSQ16" s="251"/>
      <c r="VSR16" s="251"/>
      <c r="VSS16" s="251"/>
      <c r="VST16" s="251"/>
      <c r="VSU16" s="251"/>
      <c r="VSV16" s="251"/>
      <c r="VSW16" s="251"/>
      <c r="VSX16" s="251"/>
      <c r="VSY16" s="251"/>
      <c r="VSZ16" s="251"/>
      <c r="VTA16" s="251"/>
      <c r="VTB16" s="251"/>
      <c r="VTC16" s="251"/>
      <c r="VTD16" s="251"/>
      <c r="VTE16" s="251"/>
      <c r="VTF16" s="251"/>
      <c r="VTG16" s="251"/>
      <c r="VTH16" s="251"/>
      <c r="VTI16" s="251"/>
      <c r="VTJ16" s="251"/>
      <c r="VTK16" s="251"/>
      <c r="VTL16" s="251"/>
      <c r="VTM16" s="251"/>
      <c r="VTN16" s="251"/>
      <c r="VTO16" s="251"/>
      <c r="VTP16" s="251"/>
      <c r="VTQ16" s="251"/>
      <c r="VTR16" s="251"/>
      <c r="VTS16" s="251"/>
      <c r="VTT16" s="251"/>
      <c r="VTU16" s="251"/>
      <c r="VTV16" s="251"/>
      <c r="VTW16" s="251"/>
      <c r="VTX16" s="251"/>
      <c r="VTY16" s="251"/>
      <c r="VTZ16" s="251"/>
      <c r="VUA16" s="251"/>
      <c r="VUB16" s="251"/>
      <c r="VUC16" s="251"/>
      <c r="VUD16" s="251"/>
      <c r="VUE16" s="251"/>
      <c r="VUF16" s="251"/>
      <c r="VUG16" s="251"/>
      <c r="VUH16" s="251"/>
      <c r="VUI16" s="251"/>
      <c r="VUJ16" s="251"/>
      <c r="VUK16" s="251"/>
      <c r="VUL16" s="251"/>
      <c r="VUM16" s="251"/>
      <c r="VUN16" s="251"/>
      <c r="VUO16" s="251"/>
      <c r="VUP16" s="251"/>
      <c r="VUQ16" s="251"/>
      <c r="VUR16" s="251"/>
      <c r="VUS16" s="251"/>
      <c r="VUT16" s="251"/>
      <c r="VUU16" s="251"/>
      <c r="VUV16" s="251"/>
      <c r="VUW16" s="251"/>
      <c r="VUX16" s="251"/>
      <c r="VUY16" s="251"/>
      <c r="VUZ16" s="251"/>
      <c r="VVA16" s="251"/>
      <c r="VVB16" s="251"/>
      <c r="VVC16" s="251"/>
      <c r="VVD16" s="251"/>
      <c r="VVE16" s="251"/>
      <c r="VVF16" s="251"/>
      <c r="VVG16" s="251"/>
      <c r="VVH16" s="251"/>
      <c r="VVI16" s="251"/>
      <c r="VVJ16" s="251"/>
      <c r="VVK16" s="251"/>
      <c r="VVL16" s="251"/>
      <c r="VVM16" s="251"/>
      <c r="VVN16" s="251"/>
      <c r="VVO16" s="251"/>
      <c r="VVP16" s="251"/>
      <c r="VVQ16" s="251"/>
      <c r="VVR16" s="251"/>
      <c r="VVS16" s="251"/>
      <c r="VVT16" s="251"/>
      <c r="VVU16" s="251"/>
      <c r="VVV16" s="251"/>
      <c r="VVW16" s="251"/>
      <c r="VVX16" s="251"/>
      <c r="VVY16" s="251"/>
      <c r="VVZ16" s="251"/>
      <c r="VWA16" s="251"/>
      <c r="VWB16" s="251"/>
      <c r="VWC16" s="251"/>
      <c r="VWD16" s="251"/>
      <c r="VWE16" s="251"/>
      <c r="VWF16" s="251"/>
      <c r="VWG16" s="251"/>
      <c r="VWH16" s="251"/>
      <c r="VWI16" s="251"/>
      <c r="VWJ16" s="251"/>
      <c r="VWK16" s="251"/>
      <c r="VWL16" s="251"/>
      <c r="VWM16" s="251"/>
      <c r="VWN16" s="251"/>
      <c r="VWO16" s="251"/>
      <c r="VWP16" s="251"/>
      <c r="VWQ16" s="251"/>
      <c r="VWR16" s="251"/>
      <c r="VWS16" s="251"/>
      <c r="VWT16" s="251"/>
      <c r="VWU16" s="251"/>
      <c r="VWV16" s="251"/>
      <c r="VWW16" s="251"/>
      <c r="VWX16" s="251"/>
      <c r="VWY16" s="251"/>
      <c r="VWZ16" s="251"/>
      <c r="VXA16" s="251"/>
      <c r="VXB16" s="251"/>
      <c r="VXC16" s="251"/>
      <c r="VXD16" s="251"/>
      <c r="VXE16" s="251"/>
      <c r="VXF16" s="251"/>
      <c r="VXG16" s="251"/>
      <c r="VXH16" s="251"/>
      <c r="VXI16" s="251"/>
      <c r="VXJ16" s="251"/>
      <c r="VXK16" s="251"/>
      <c r="VXL16" s="251"/>
      <c r="VXM16" s="251"/>
      <c r="VXN16" s="251"/>
      <c r="VXO16" s="251"/>
      <c r="VXP16" s="251"/>
      <c r="VXQ16" s="251"/>
      <c r="VXR16" s="251"/>
      <c r="VXS16" s="251"/>
      <c r="VXT16" s="251"/>
      <c r="VXU16" s="251"/>
      <c r="VXV16" s="251"/>
      <c r="VXW16" s="251"/>
      <c r="VXX16" s="251"/>
      <c r="VXY16" s="251"/>
      <c r="VXZ16" s="251"/>
      <c r="VYA16" s="251"/>
      <c r="VYB16" s="251"/>
      <c r="VYC16" s="251"/>
      <c r="VYD16" s="251"/>
      <c r="VYE16" s="251"/>
      <c r="VYF16" s="251"/>
      <c r="VYG16" s="251"/>
      <c r="VYH16" s="251"/>
      <c r="VYI16" s="251"/>
      <c r="VYJ16" s="251"/>
      <c r="VYK16" s="251"/>
      <c r="VYL16" s="251"/>
      <c r="VYM16" s="251"/>
      <c r="VYN16" s="251"/>
      <c r="VYO16" s="251"/>
      <c r="VYP16" s="251"/>
      <c r="VYQ16" s="251"/>
      <c r="VYR16" s="251"/>
      <c r="VYS16" s="251"/>
      <c r="VYT16" s="251"/>
      <c r="VYU16" s="251"/>
      <c r="VYV16" s="251"/>
      <c r="VYW16" s="251"/>
      <c r="VYX16" s="251"/>
      <c r="VYY16" s="251"/>
      <c r="VYZ16" s="251"/>
      <c r="VZA16" s="251"/>
      <c r="VZB16" s="251"/>
      <c r="VZC16" s="251"/>
      <c r="VZD16" s="251"/>
      <c r="VZE16" s="251"/>
      <c r="VZF16" s="251"/>
      <c r="VZG16" s="251"/>
      <c r="VZH16" s="251"/>
      <c r="VZI16" s="251"/>
      <c r="VZJ16" s="251"/>
      <c r="VZK16" s="251"/>
      <c r="VZL16" s="251"/>
      <c r="VZM16" s="251"/>
      <c r="VZN16" s="251"/>
      <c r="VZO16" s="251"/>
      <c r="VZP16" s="251"/>
      <c r="VZQ16" s="251"/>
      <c r="VZR16" s="251"/>
      <c r="VZS16" s="251"/>
      <c r="VZT16" s="251"/>
      <c r="VZU16" s="251"/>
      <c r="VZV16" s="251"/>
      <c r="VZW16" s="251"/>
      <c r="VZX16" s="251"/>
      <c r="VZY16" s="251"/>
      <c r="VZZ16" s="251"/>
      <c r="WAA16" s="251"/>
      <c r="WAB16" s="251"/>
      <c r="WAC16" s="251"/>
      <c r="WAD16" s="251"/>
      <c r="WAE16" s="251"/>
      <c r="WAF16" s="251"/>
      <c r="WAG16" s="251"/>
      <c r="WAH16" s="251"/>
      <c r="WAI16" s="251"/>
      <c r="WAJ16" s="251"/>
      <c r="WAK16" s="251"/>
      <c r="WAL16" s="251"/>
      <c r="WAM16" s="251"/>
      <c r="WAN16" s="251"/>
      <c r="WAO16" s="251"/>
      <c r="WAP16" s="251"/>
      <c r="WAQ16" s="251"/>
      <c r="WAR16" s="251"/>
      <c r="WAS16" s="251"/>
      <c r="WAT16" s="251"/>
      <c r="WAU16" s="251"/>
      <c r="WAV16" s="251"/>
      <c r="WAW16" s="251"/>
      <c r="WAX16" s="251"/>
      <c r="WAY16" s="251"/>
      <c r="WAZ16" s="251"/>
      <c r="WBA16" s="251"/>
      <c r="WBB16" s="251"/>
      <c r="WBC16" s="251"/>
      <c r="WBD16" s="251"/>
      <c r="WBE16" s="251"/>
      <c r="WBF16" s="251"/>
      <c r="WBG16" s="251"/>
      <c r="WBH16" s="251"/>
      <c r="WBI16" s="251"/>
      <c r="WBJ16" s="251"/>
      <c r="WBK16" s="251"/>
      <c r="WBL16" s="251"/>
      <c r="WBM16" s="251"/>
      <c r="WBN16" s="251"/>
      <c r="WBO16" s="251"/>
      <c r="WBP16" s="251"/>
      <c r="WBQ16" s="251"/>
      <c r="WBR16" s="251"/>
      <c r="WBS16" s="251"/>
      <c r="WBT16" s="251"/>
      <c r="WBU16" s="251"/>
      <c r="WBV16" s="251"/>
      <c r="WBW16" s="251"/>
      <c r="WBX16" s="251"/>
      <c r="WBY16" s="251"/>
      <c r="WBZ16" s="251"/>
      <c r="WCA16" s="251"/>
      <c r="WCB16" s="251"/>
      <c r="WCC16" s="251"/>
      <c r="WCD16" s="251"/>
      <c r="WCE16" s="251"/>
      <c r="WCF16" s="251"/>
      <c r="WCG16" s="251"/>
      <c r="WCH16" s="251"/>
      <c r="WCI16" s="251"/>
      <c r="WCJ16" s="251"/>
      <c r="WCK16" s="251"/>
      <c r="WCL16" s="251"/>
      <c r="WCM16" s="251"/>
      <c r="WCN16" s="251"/>
      <c r="WCO16" s="251"/>
      <c r="WCP16" s="251"/>
      <c r="WCQ16" s="251"/>
      <c r="WCR16" s="251"/>
      <c r="WCS16" s="251"/>
      <c r="WCT16" s="251"/>
      <c r="WCU16" s="251"/>
      <c r="WCV16" s="251"/>
      <c r="WCW16" s="251"/>
      <c r="WCX16" s="251"/>
      <c r="WCY16" s="251"/>
      <c r="WCZ16" s="251"/>
      <c r="WDA16" s="251"/>
      <c r="WDB16" s="251"/>
      <c r="WDC16" s="251"/>
      <c r="WDD16" s="251"/>
      <c r="WDE16" s="251"/>
      <c r="WDF16" s="251"/>
      <c r="WDG16" s="251"/>
      <c r="WDH16" s="251"/>
      <c r="WDI16" s="251"/>
      <c r="WDJ16" s="251"/>
      <c r="WDK16" s="251"/>
      <c r="WDL16" s="251"/>
      <c r="WDM16" s="251"/>
      <c r="WDN16" s="251"/>
      <c r="WDO16" s="251"/>
      <c r="WDP16" s="251"/>
      <c r="WDQ16" s="251"/>
      <c r="WDR16" s="251"/>
      <c r="WDS16" s="251"/>
      <c r="WDT16" s="251"/>
      <c r="WDU16" s="251"/>
      <c r="WDV16" s="251"/>
      <c r="WDW16" s="251"/>
      <c r="WDX16" s="251"/>
      <c r="WDY16" s="251"/>
      <c r="WDZ16" s="251"/>
      <c r="WEA16" s="251"/>
      <c r="WEB16" s="251"/>
      <c r="WEC16" s="251"/>
      <c r="WED16" s="251"/>
      <c r="WEE16" s="251"/>
      <c r="WEF16" s="251"/>
      <c r="WEG16" s="251"/>
      <c r="WEH16" s="251"/>
      <c r="WEI16" s="251"/>
      <c r="WEJ16" s="251"/>
      <c r="WEK16" s="251"/>
      <c r="WEL16" s="251"/>
      <c r="WEM16" s="251"/>
      <c r="WEN16" s="251"/>
      <c r="WEO16" s="251"/>
      <c r="WEP16" s="251"/>
      <c r="WEQ16" s="251"/>
      <c r="WER16" s="251"/>
      <c r="WES16" s="251"/>
      <c r="WET16" s="251"/>
      <c r="WEU16" s="251"/>
      <c r="WEV16" s="251"/>
      <c r="WEW16" s="251"/>
      <c r="WEX16" s="251"/>
      <c r="WEY16" s="251"/>
      <c r="WEZ16" s="251"/>
      <c r="WFA16" s="251"/>
      <c r="WFB16" s="251"/>
      <c r="WFC16" s="251"/>
      <c r="WFD16" s="251"/>
      <c r="WFE16" s="251"/>
      <c r="WFF16" s="251"/>
      <c r="WFG16" s="251"/>
      <c r="WFH16" s="251"/>
      <c r="WFI16" s="251"/>
      <c r="WFJ16" s="251"/>
      <c r="WFK16" s="251"/>
      <c r="WFL16" s="251"/>
      <c r="WFM16" s="251"/>
      <c r="WFN16" s="251"/>
      <c r="WFO16" s="251"/>
      <c r="WFP16" s="251"/>
      <c r="WFQ16" s="251"/>
      <c r="WFR16" s="251"/>
      <c r="WFS16" s="251"/>
      <c r="WFT16" s="251"/>
      <c r="WFU16" s="251"/>
      <c r="WFV16" s="251"/>
      <c r="WFW16" s="251"/>
      <c r="WFX16" s="251"/>
      <c r="WFY16" s="251"/>
      <c r="WFZ16" s="251"/>
      <c r="WGA16" s="251"/>
      <c r="WGB16" s="251"/>
      <c r="WGC16" s="251"/>
      <c r="WGD16" s="251"/>
      <c r="WGE16" s="251"/>
      <c r="WGF16" s="251"/>
      <c r="WGG16" s="251"/>
      <c r="WGH16" s="251"/>
      <c r="WGI16" s="251"/>
      <c r="WGJ16" s="251"/>
      <c r="WGK16" s="251"/>
      <c r="WGL16" s="251"/>
      <c r="WGM16" s="251"/>
      <c r="WGN16" s="251"/>
      <c r="WGO16" s="251"/>
      <c r="WGP16" s="251"/>
      <c r="WGQ16" s="251"/>
      <c r="WGR16" s="251"/>
      <c r="WGS16" s="251"/>
      <c r="WGT16" s="251"/>
      <c r="WGU16" s="251"/>
      <c r="WGV16" s="251"/>
      <c r="WGW16" s="251"/>
      <c r="WGX16" s="251"/>
      <c r="WGY16" s="251"/>
      <c r="WGZ16" s="251"/>
      <c r="WHA16" s="251"/>
      <c r="WHB16" s="251"/>
      <c r="WHC16" s="251"/>
      <c r="WHD16" s="251"/>
      <c r="WHE16" s="251"/>
      <c r="WHF16" s="251"/>
      <c r="WHG16" s="251"/>
      <c r="WHH16" s="251"/>
      <c r="WHI16" s="251"/>
      <c r="WHJ16" s="251"/>
      <c r="WHK16" s="251"/>
      <c r="WHL16" s="251"/>
      <c r="WHM16" s="251"/>
      <c r="WHN16" s="251"/>
      <c r="WHO16" s="251"/>
      <c r="WHP16" s="251"/>
      <c r="WHQ16" s="251"/>
      <c r="WHR16" s="251"/>
      <c r="WHS16" s="251"/>
      <c r="WHT16" s="251"/>
      <c r="WHU16" s="251"/>
      <c r="WHV16" s="251"/>
      <c r="WHW16" s="251"/>
      <c r="WHX16" s="251"/>
      <c r="WHY16" s="251"/>
      <c r="WHZ16" s="251"/>
      <c r="WIA16" s="251"/>
      <c r="WIB16" s="251"/>
      <c r="WIC16" s="251"/>
      <c r="WID16" s="251"/>
      <c r="WIE16" s="251"/>
      <c r="WIF16" s="251"/>
      <c r="WIG16" s="251"/>
      <c r="WIH16" s="251"/>
      <c r="WII16" s="251"/>
      <c r="WIJ16" s="251"/>
      <c r="WIK16" s="251"/>
      <c r="WIL16" s="251"/>
      <c r="WIM16" s="251"/>
      <c r="WIN16" s="251"/>
      <c r="WIO16" s="251"/>
      <c r="WIP16" s="251"/>
      <c r="WIQ16" s="251"/>
      <c r="WIR16" s="251"/>
      <c r="WIS16" s="251"/>
      <c r="WIT16" s="251"/>
      <c r="WIU16" s="251"/>
      <c r="WIV16" s="251"/>
      <c r="WIW16" s="251"/>
      <c r="WIX16" s="251"/>
      <c r="WIY16" s="251"/>
      <c r="WIZ16" s="251"/>
      <c r="WJA16" s="251"/>
      <c r="WJB16" s="251"/>
      <c r="WJC16" s="251"/>
      <c r="WJD16" s="251"/>
      <c r="WJE16" s="251"/>
      <c r="WJF16" s="251"/>
      <c r="WJG16" s="251"/>
      <c r="WJH16" s="251"/>
      <c r="WJI16" s="251"/>
      <c r="WJJ16" s="251"/>
      <c r="WJK16" s="251"/>
      <c r="WJL16" s="251"/>
      <c r="WJM16" s="251"/>
      <c r="WJN16" s="251"/>
      <c r="WJO16" s="251"/>
      <c r="WJP16" s="251"/>
      <c r="WJQ16" s="251"/>
      <c r="WJR16" s="251"/>
      <c r="WJS16" s="251"/>
      <c r="WJT16" s="251"/>
      <c r="WJU16" s="251"/>
      <c r="WJV16" s="251"/>
      <c r="WJW16" s="251"/>
      <c r="WJX16" s="251"/>
      <c r="WJY16" s="251"/>
      <c r="WJZ16" s="251"/>
      <c r="WKA16" s="251"/>
      <c r="WKB16" s="251"/>
      <c r="WKC16" s="251"/>
      <c r="WKD16" s="251"/>
      <c r="WKE16" s="251"/>
      <c r="WKF16" s="251"/>
      <c r="WKG16" s="251"/>
      <c r="WKH16" s="251"/>
      <c r="WKI16" s="251"/>
      <c r="WKJ16" s="251"/>
      <c r="WKK16" s="251"/>
      <c r="WKL16" s="251"/>
      <c r="WKM16" s="251"/>
      <c r="WKN16" s="251"/>
      <c r="WKO16" s="251"/>
      <c r="WKP16" s="251"/>
      <c r="WKQ16" s="251"/>
      <c r="WKR16" s="251"/>
      <c r="WKS16" s="251"/>
      <c r="WKT16" s="251"/>
      <c r="WKU16" s="251"/>
      <c r="WKV16" s="251"/>
      <c r="WKW16" s="251"/>
      <c r="WKX16" s="251"/>
      <c r="WKY16" s="251"/>
      <c r="WKZ16" s="251"/>
      <c r="WLA16" s="251"/>
      <c r="WLB16" s="251"/>
      <c r="WLC16" s="251"/>
      <c r="WLD16" s="251"/>
      <c r="WLE16" s="251"/>
      <c r="WLF16" s="251"/>
      <c r="WLG16" s="251"/>
      <c r="WLH16" s="251"/>
      <c r="WLI16" s="251"/>
      <c r="WLJ16" s="251"/>
      <c r="WLK16" s="251"/>
      <c r="WLL16" s="251"/>
      <c r="WLM16" s="251"/>
      <c r="WLN16" s="251"/>
      <c r="WLO16" s="251"/>
      <c r="WLP16" s="251"/>
      <c r="WLQ16" s="251"/>
      <c r="WLR16" s="251"/>
      <c r="WLS16" s="251"/>
      <c r="WLT16" s="251"/>
      <c r="WLU16" s="251"/>
      <c r="WLV16" s="251"/>
      <c r="WLW16" s="251"/>
      <c r="WLX16" s="251"/>
      <c r="WLY16" s="251"/>
      <c r="WLZ16" s="251"/>
      <c r="WMA16" s="251"/>
      <c r="WMB16" s="251"/>
      <c r="WMC16" s="251"/>
      <c r="WMD16" s="251"/>
      <c r="WME16" s="251"/>
      <c r="WMF16" s="251"/>
      <c r="WMG16" s="251"/>
      <c r="WMH16" s="251"/>
      <c r="WMI16" s="251"/>
      <c r="WMJ16" s="251"/>
      <c r="WMK16" s="251"/>
      <c r="WML16" s="251"/>
      <c r="WMM16" s="251"/>
      <c r="WMN16" s="251"/>
      <c r="WMO16" s="251"/>
      <c r="WMP16" s="251"/>
      <c r="WMQ16" s="251"/>
      <c r="WMR16" s="251"/>
      <c r="WMS16" s="251"/>
      <c r="WMT16" s="251"/>
      <c r="WMU16" s="251"/>
      <c r="WMV16" s="251"/>
      <c r="WMW16" s="251"/>
      <c r="WMX16" s="251"/>
      <c r="WMY16" s="251"/>
      <c r="WMZ16" s="251"/>
      <c r="WNA16" s="251"/>
      <c r="WNB16" s="251"/>
      <c r="WNC16" s="251"/>
      <c r="WND16" s="251"/>
      <c r="WNE16" s="251"/>
      <c r="WNF16" s="251"/>
      <c r="WNG16" s="251"/>
      <c r="WNH16" s="251"/>
      <c r="WNI16" s="251"/>
      <c r="WNJ16" s="251"/>
      <c r="WNK16" s="251"/>
      <c r="WNL16" s="251"/>
      <c r="WNM16" s="251"/>
      <c r="WNN16" s="251"/>
      <c r="WNO16" s="251"/>
      <c r="WNP16" s="251"/>
      <c r="WNQ16" s="251"/>
      <c r="WNR16" s="251"/>
      <c r="WNS16" s="251"/>
      <c r="WNT16" s="251"/>
      <c r="WNU16" s="251"/>
      <c r="WNV16" s="251"/>
      <c r="WNW16" s="251"/>
      <c r="WNX16" s="251"/>
      <c r="WNY16" s="251"/>
      <c r="WNZ16" s="251"/>
      <c r="WOA16" s="251"/>
      <c r="WOB16" s="251"/>
      <c r="WOC16" s="251"/>
      <c r="WOD16" s="251"/>
      <c r="WOE16" s="251"/>
      <c r="WOF16" s="251"/>
      <c r="WOG16" s="251"/>
      <c r="WOH16" s="251"/>
      <c r="WOI16" s="251"/>
      <c r="WOJ16" s="251"/>
      <c r="WOK16" s="251"/>
      <c r="WOL16" s="251"/>
      <c r="WOM16" s="251"/>
      <c r="WON16" s="251"/>
      <c r="WOO16" s="251"/>
      <c r="WOP16" s="251"/>
      <c r="WOQ16" s="251"/>
      <c r="WOR16" s="251"/>
      <c r="WOS16" s="251"/>
      <c r="WOT16" s="251"/>
      <c r="WOU16" s="251"/>
      <c r="WOV16" s="251"/>
      <c r="WOW16" s="251"/>
      <c r="WOX16" s="251"/>
      <c r="WOY16" s="251"/>
      <c r="WOZ16" s="251"/>
      <c r="WPA16" s="251"/>
      <c r="WPB16" s="251"/>
      <c r="WPC16" s="251"/>
      <c r="WPD16" s="251"/>
      <c r="WPE16" s="251"/>
      <c r="WPF16" s="251"/>
      <c r="WPG16" s="251"/>
      <c r="WPH16" s="251"/>
      <c r="WPI16" s="251"/>
      <c r="WPJ16" s="251"/>
      <c r="WPK16" s="251"/>
      <c r="WPL16" s="251"/>
      <c r="WPM16" s="251"/>
      <c r="WPN16" s="251"/>
      <c r="WPO16" s="251"/>
      <c r="WPP16" s="251"/>
      <c r="WPQ16" s="251"/>
      <c r="WPR16" s="251"/>
      <c r="WPS16" s="251"/>
      <c r="WPT16" s="251"/>
      <c r="WPU16" s="251"/>
      <c r="WPV16" s="251"/>
      <c r="WPW16" s="251"/>
      <c r="WPX16" s="251"/>
      <c r="WPY16" s="251"/>
      <c r="WPZ16" s="251"/>
      <c r="WQA16" s="251"/>
      <c r="WQB16" s="251"/>
      <c r="WQC16" s="251"/>
      <c r="WQD16" s="251"/>
      <c r="WQE16" s="251"/>
      <c r="WQF16" s="251"/>
      <c r="WQG16" s="251"/>
      <c r="WQH16" s="251"/>
      <c r="WQI16" s="251"/>
      <c r="WQJ16" s="251"/>
      <c r="WQK16" s="251"/>
      <c r="WQL16" s="251"/>
      <c r="WQM16" s="251"/>
      <c r="WQN16" s="251"/>
      <c r="WQO16" s="251"/>
      <c r="WQP16" s="251"/>
      <c r="WQQ16" s="251"/>
      <c r="WQR16" s="251"/>
      <c r="WQS16" s="251"/>
      <c r="WQT16" s="251"/>
      <c r="WQU16" s="251"/>
      <c r="WQV16" s="251"/>
      <c r="WQW16" s="251"/>
      <c r="WQX16" s="251"/>
      <c r="WQY16" s="251"/>
      <c r="WQZ16" s="251"/>
      <c r="WRA16" s="251"/>
      <c r="WRB16" s="251"/>
      <c r="WRC16" s="251"/>
      <c r="WRD16" s="251"/>
      <c r="WRE16" s="251"/>
      <c r="WRF16" s="251"/>
      <c r="WRG16" s="251"/>
      <c r="WRH16" s="251"/>
      <c r="WRI16" s="251"/>
      <c r="WRJ16" s="251"/>
      <c r="WRK16" s="251"/>
      <c r="WRL16" s="251"/>
      <c r="WRM16" s="251"/>
      <c r="WRN16" s="251"/>
      <c r="WRO16" s="251"/>
      <c r="WRP16" s="251"/>
      <c r="WRQ16" s="251"/>
      <c r="WRR16" s="251"/>
      <c r="WRS16" s="251"/>
      <c r="WRT16" s="251"/>
      <c r="WRU16" s="251"/>
      <c r="WRV16" s="251"/>
      <c r="WRW16" s="251"/>
      <c r="WRX16" s="251"/>
      <c r="WRY16" s="251"/>
      <c r="WRZ16" s="251"/>
      <c r="WSA16" s="251"/>
      <c r="WSB16" s="251"/>
      <c r="WSC16" s="251"/>
      <c r="WSD16" s="251"/>
      <c r="WSE16" s="251"/>
      <c r="WSF16" s="251"/>
      <c r="WSG16" s="251"/>
      <c r="WSH16" s="251"/>
      <c r="WSI16" s="251"/>
      <c r="WSJ16" s="251"/>
      <c r="WSK16" s="251"/>
      <c r="WSL16" s="251"/>
      <c r="WSM16" s="251"/>
      <c r="WSN16" s="251"/>
      <c r="WSO16" s="251"/>
      <c r="WSP16" s="251"/>
      <c r="WSQ16" s="251"/>
      <c r="WSR16" s="251"/>
      <c r="WSS16" s="251"/>
      <c r="WST16" s="251"/>
      <c r="WSU16" s="251"/>
      <c r="WSV16" s="251"/>
      <c r="WSW16" s="251"/>
      <c r="WSX16" s="251"/>
      <c r="WSY16" s="251"/>
      <c r="WSZ16" s="251"/>
      <c r="WTA16" s="251"/>
      <c r="WTB16" s="251"/>
      <c r="WTC16" s="251"/>
      <c r="WTD16" s="251"/>
      <c r="WTE16" s="251"/>
      <c r="WTF16" s="251"/>
      <c r="WTG16" s="251"/>
      <c r="WTH16" s="251"/>
      <c r="WTI16" s="251"/>
      <c r="WTJ16" s="251"/>
      <c r="WTK16" s="251"/>
      <c r="WTL16" s="251"/>
      <c r="WTM16" s="251"/>
      <c r="WTN16" s="251"/>
      <c r="WTO16" s="251"/>
      <c r="WTP16" s="251"/>
      <c r="WTQ16" s="251"/>
      <c r="WTR16" s="251"/>
      <c r="WTS16" s="251"/>
      <c r="WTT16" s="251"/>
      <c r="WTU16" s="251"/>
      <c r="WTV16" s="251"/>
      <c r="WTW16" s="251"/>
      <c r="WTX16" s="251"/>
      <c r="WTY16" s="251"/>
      <c r="WTZ16" s="251"/>
      <c r="WUA16" s="251"/>
      <c r="WUB16" s="251"/>
      <c r="WUC16" s="251"/>
      <c r="WUD16" s="251"/>
      <c r="WUE16" s="251"/>
      <c r="WUF16" s="251"/>
      <c r="WUG16" s="251"/>
      <c r="WUH16" s="251"/>
      <c r="WUI16" s="251"/>
      <c r="WUJ16" s="251"/>
      <c r="WUK16" s="251"/>
      <c r="WUL16" s="251"/>
      <c r="WUM16" s="251"/>
      <c r="WUN16" s="251"/>
      <c r="WUO16" s="251"/>
      <c r="WUP16" s="251"/>
      <c r="WUQ16" s="251"/>
      <c r="WUR16" s="251"/>
      <c r="WUS16" s="251"/>
      <c r="WUT16" s="251"/>
      <c r="WUU16" s="251"/>
      <c r="WUV16" s="251"/>
      <c r="WUW16" s="251"/>
      <c r="WUX16" s="251"/>
      <c r="WUY16" s="251"/>
      <c r="WUZ16" s="251"/>
      <c r="WVA16" s="251"/>
      <c r="WVB16" s="251"/>
      <c r="WVC16" s="251"/>
      <c r="WVD16" s="251"/>
      <c r="WVE16" s="251"/>
      <c r="WVF16" s="251"/>
      <c r="WVG16" s="251"/>
      <c r="WVH16" s="251"/>
      <c r="WVI16" s="251"/>
      <c r="WVJ16" s="251"/>
      <c r="WVK16" s="251"/>
      <c r="WVL16" s="251"/>
      <c r="WVM16" s="251"/>
      <c r="WVN16" s="251"/>
      <c r="WVO16" s="251"/>
      <c r="WVP16" s="251"/>
      <c r="WVQ16" s="251"/>
      <c r="WVR16" s="251"/>
      <c r="WVS16" s="251"/>
      <c r="WVT16" s="251"/>
      <c r="WVU16" s="251"/>
      <c r="WVV16" s="251"/>
      <c r="WVW16" s="251"/>
      <c r="WVX16" s="251"/>
      <c r="WVY16" s="251"/>
      <c r="WVZ16" s="251"/>
      <c r="WWA16" s="251"/>
      <c r="WWB16" s="251"/>
      <c r="WWC16" s="251"/>
      <c r="WWD16" s="251"/>
      <c r="WWE16" s="251"/>
      <c r="WWF16" s="251"/>
      <c r="WWG16" s="251"/>
      <c r="WWH16" s="251"/>
      <c r="WWI16" s="251"/>
      <c r="WWJ16" s="251"/>
      <c r="WWK16" s="251"/>
      <c r="WWL16" s="251"/>
      <c r="WWM16" s="251"/>
      <c r="WWN16" s="251"/>
      <c r="WWO16" s="251"/>
      <c r="WWP16" s="251"/>
      <c r="WWQ16" s="251"/>
      <c r="WWR16" s="251"/>
      <c r="WWS16" s="251"/>
      <c r="WWT16" s="251"/>
      <c r="WWU16" s="251"/>
      <c r="WWV16" s="251"/>
      <c r="WWW16" s="251"/>
      <c r="WWX16" s="251"/>
      <c r="WWY16" s="251"/>
      <c r="WWZ16" s="251"/>
      <c r="WXA16" s="251"/>
      <c r="WXB16" s="251"/>
      <c r="WXC16" s="251"/>
      <c r="WXD16" s="251"/>
      <c r="WXE16" s="251"/>
      <c r="WXF16" s="251"/>
      <c r="WXG16" s="251"/>
      <c r="WXH16" s="251"/>
      <c r="WXI16" s="251"/>
      <c r="WXJ16" s="251"/>
      <c r="WXK16" s="251"/>
      <c r="WXL16" s="251"/>
      <c r="WXM16" s="251"/>
      <c r="WXN16" s="251"/>
      <c r="WXO16" s="251"/>
      <c r="WXP16" s="251"/>
      <c r="WXQ16" s="251"/>
      <c r="WXR16" s="251"/>
      <c r="WXS16" s="251"/>
      <c r="WXT16" s="251"/>
      <c r="WXU16" s="251"/>
      <c r="WXV16" s="251"/>
      <c r="WXW16" s="251"/>
      <c r="WXX16" s="251"/>
      <c r="WXY16" s="251"/>
      <c r="WXZ16" s="251"/>
      <c r="WYA16" s="251"/>
      <c r="WYB16" s="251"/>
      <c r="WYC16" s="251"/>
      <c r="WYD16" s="251"/>
      <c r="WYE16" s="251"/>
      <c r="WYF16" s="251"/>
      <c r="WYG16" s="251"/>
      <c r="WYH16" s="251"/>
      <c r="WYI16" s="251"/>
      <c r="WYJ16" s="251"/>
      <c r="WYK16" s="251"/>
      <c r="WYL16" s="251"/>
      <c r="WYM16" s="251"/>
      <c r="WYN16" s="251"/>
      <c r="WYO16" s="251"/>
      <c r="WYP16" s="251"/>
      <c r="WYQ16" s="251"/>
      <c r="WYR16" s="251"/>
      <c r="WYS16" s="251"/>
      <c r="WYT16" s="251"/>
      <c r="WYU16" s="251"/>
      <c r="WYV16" s="251"/>
      <c r="WYW16" s="251"/>
      <c r="WYX16" s="251"/>
      <c r="WYY16" s="251"/>
      <c r="WYZ16" s="251"/>
      <c r="WZA16" s="251"/>
      <c r="WZB16" s="251"/>
      <c r="WZC16" s="251"/>
      <c r="WZD16" s="251"/>
      <c r="WZE16" s="251"/>
      <c r="WZF16" s="251"/>
      <c r="WZG16" s="251"/>
      <c r="WZH16" s="251"/>
      <c r="WZI16" s="251"/>
      <c r="WZJ16" s="251"/>
      <c r="WZK16" s="251"/>
      <c r="WZL16" s="251"/>
      <c r="WZM16" s="251"/>
      <c r="WZN16" s="251"/>
      <c r="WZO16" s="251"/>
      <c r="WZP16" s="251"/>
      <c r="WZQ16" s="251"/>
      <c r="WZR16" s="251"/>
      <c r="WZS16" s="251"/>
      <c r="WZT16" s="251"/>
      <c r="WZU16" s="251"/>
      <c r="WZV16" s="251"/>
      <c r="WZW16" s="251"/>
      <c r="WZX16" s="251"/>
      <c r="WZY16" s="251"/>
      <c r="WZZ16" s="251"/>
      <c r="XAA16" s="251"/>
      <c r="XAB16" s="251"/>
      <c r="XAC16" s="251"/>
      <c r="XAD16" s="251"/>
      <c r="XAE16" s="251"/>
      <c r="XAF16" s="251"/>
      <c r="XAG16" s="251"/>
      <c r="XAH16" s="251"/>
      <c r="XAI16" s="251"/>
      <c r="XAJ16" s="251"/>
      <c r="XAK16" s="251"/>
      <c r="XAL16" s="251"/>
      <c r="XAM16" s="251"/>
      <c r="XAN16" s="251"/>
      <c r="XAO16" s="251"/>
      <c r="XAP16" s="251"/>
      <c r="XAQ16" s="251"/>
      <c r="XAR16" s="251"/>
      <c r="XAS16" s="251"/>
      <c r="XAT16" s="251"/>
      <c r="XAU16" s="251"/>
      <c r="XAV16" s="251"/>
      <c r="XAW16" s="251"/>
      <c r="XAX16" s="251"/>
      <c r="XAY16" s="251"/>
      <c r="XAZ16" s="251"/>
      <c r="XBA16" s="251"/>
      <c r="XBB16" s="251"/>
      <c r="XBC16" s="251"/>
      <c r="XBD16" s="251"/>
      <c r="XBE16" s="251"/>
      <c r="XBF16" s="251"/>
      <c r="XBG16" s="251"/>
      <c r="XBH16" s="251"/>
      <c r="XBI16" s="251"/>
      <c r="XBJ16" s="251"/>
      <c r="XBK16" s="251"/>
      <c r="XBL16" s="251"/>
      <c r="XBM16" s="251"/>
      <c r="XBN16" s="251"/>
      <c r="XBO16" s="251"/>
      <c r="XBP16" s="251"/>
      <c r="XBQ16" s="251"/>
      <c r="XBR16" s="251"/>
      <c r="XBS16" s="251"/>
      <c r="XBT16" s="251"/>
      <c r="XBU16" s="251"/>
      <c r="XBV16" s="251"/>
      <c r="XBW16" s="251"/>
      <c r="XBX16" s="251"/>
      <c r="XBY16" s="251"/>
      <c r="XBZ16" s="251"/>
      <c r="XCA16" s="251"/>
      <c r="XCB16" s="251"/>
      <c r="XCC16" s="251"/>
      <c r="XCD16" s="251"/>
      <c r="XCE16" s="251"/>
      <c r="XCF16" s="251"/>
      <c r="XCG16" s="251"/>
      <c r="XCH16" s="251"/>
      <c r="XCI16" s="251"/>
      <c r="XCJ16" s="251"/>
      <c r="XCK16" s="251"/>
      <c r="XCL16" s="251"/>
      <c r="XCM16" s="251"/>
      <c r="XCN16" s="251"/>
      <c r="XCO16" s="251"/>
      <c r="XCP16" s="251"/>
      <c r="XCQ16" s="251"/>
      <c r="XCR16" s="251"/>
      <c r="XCS16" s="251"/>
      <c r="XCT16" s="251"/>
      <c r="XCU16" s="251"/>
      <c r="XCV16" s="251"/>
      <c r="XCW16" s="251"/>
      <c r="XCX16" s="251"/>
      <c r="XCY16" s="251"/>
      <c r="XCZ16" s="251"/>
      <c r="XDA16" s="251"/>
      <c r="XDB16" s="251"/>
      <c r="XDC16" s="251"/>
      <c r="XDD16" s="251"/>
      <c r="XDE16" s="251"/>
      <c r="XDF16" s="251"/>
      <c r="XDG16" s="251"/>
      <c r="XDH16" s="251"/>
      <c r="XDI16" s="251"/>
      <c r="XDJ16" s="251"/>
      <c r="XDK16" s="251"/>
      <c r="XDL16" s="251"/>
      <c r="XDM16" s="251"/>
      <c r="XDN16" s="251"/>
      <c r="XDO16" s="251"/>
      <c r="XDP16" s="251"/>
      <c r="XDQ16" s="251"/>
      <c r="XDR16" s="251"/>
      <c r="XDS16" s="251"/>
      <c r="XDT16" s="251"/>
      <c r="XDU16" s="251"/>
      <c r="XDV16" s="251"/>
      <c r="XDW16" s="251"/>
      <c r="XDX16" s="251"/>
      <c r="XDY16" s="251"/>
      <c r="XDZ16" s="251"/>
      <c r="XEA16" s="251"/>
      <c r="XEB16" s="251"/>
      <c r="XEC16" s="251"/>
      <c r="XED16" s="251"/>
      <c r="XEE16" s="251"/>
      <c r="XEF16" s="251"/>
      <c r="XEG16" s="251"/>
      <c r="XEH16" s="251"/>
      <c r="XEI16" s="251"/>
      <c r="XEJ16" s="251"/>
      <c r="XEK16" s="251"/>
      <c r="XEL16" s="251"/>
      <c r="XEM16" s="251"/>
      <c r="XEN16" s="251"/>
      <c r="XEO16" s="251"/>
      <c r="XEP16" s="251"/>
      <c r="XEQ16" s="251"/>
      <c r="XER16" s="251"/>
      <c r="XES16" s="251"/>
      <c r="XET16" s="251"/>
      <c r="XEU16" s="251"/>
      <c r="XEV16" s="251"/>
      <c r="XEW16" s="251"/>
      <c r="XEX16" s="251"/>
      <c r="XEY16" s="251"/>
      <c r="XEZ16" s="251"/>
      <c r="XFA16" s="251"/>
      <c r="XFB16" s="251"/>
      <c r="XFC16" s="251"/>
    </row>
  </sheetData>
  <phoneticPr fontId="37" type="noConversion"/>
  <conditionalFormatting sqref="K2:K3">
    <cfRule type="cellIs" dxfId="982" priority="119" operator="equal">
      <formula>0</formula>
    </cfRule>
  </conditionalFormatting>
  <conditionalFormatting sqref="K1">
    <cfRule type="cellIs" dxfId="981" priority="65" operator="equal">
      <formula>0</formula>
    </cfRule>
  </conditionalFormatting>
  <conditionalFormatting sqref="K5 K7 K9 K11">
    <cfRule type="cellIs" dxfId="980" priority="60" operator="equal">
      <formula>0</formula>
    </cfRule>
  </conditionalFormatting>
  <conditionalFormatting sqref="K4 K6 K8 K10 K12:K14">
    <cfRule type="cellIs" dxfId="979" priority="55" operator="equal">
      <formula>0</formula>
    </cfRule>
  </conditionalFormatting>
  <conditionalFormatting sqref="R15">
    <cfRule type="cellIs" dxfId="978" priority="2" operator="equal">
      <formula>0</formula>
    </cfRule>
  </conditionalFormatting>
  <conditionalFormatting sqref="T16">
    <cfRule type="cellIs" dxfId="977" priority="1" operator="equal">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outlinePr summaryRight="0"/>
    <pageSetUpPr fitToPage="1"/>
  </sheetPr>
  <dimension ref="A1:AX74"/>
  <sheetViews>
    <sheetView tabSelected="1" zoomScale="85" zoomScaleNormal="85" workbookViewId="0">
      <selection activeCell="K1" sqref="K1"/>
    </sheetView>
  </sheetViews>
  <sheetFormatPr defaultColWidth="8.7109375" defaultRowHeight="12.75" x14ac:dyDescent="0.2"/>
  <cols>
    <col min="1" max="1" width="3.42578125" style="393" bestFit="1" customWidth="1"/>
    <col min="2" max="2" width="34.42578125" style="71" customWidth="1"/>
    <col min="3" max="3" width="10.28515625" style="71" hidden="1" customWidth="1"/>
    <col min="4" max="4" width="5" style="71" hidden="1" customWidth="1"/>
    <col min="5" max="5" width="39.42578125" style="71" customWidth="1"/>
    <col min="6" max="6" width="6.42578125" style="71" hidden="1" customWidth="1"/>
    <col min="7" max="7" width="7.28515625" style="71" hidden="1" customWidth="1"/>
    <col min="8" max="8" width="49.42578125" style="71" customWidth="1"/>
    <col min="9" max="9" width="3.5703125" style="71" customWidth="1"/>
    <col min="10" max="10" width="3.42578125" style="71" bestFit="1" customWidth="1"/>
    <col min="11" max="11" width="30.7109375" style="71" customWidth="1"/>
    <col min="12" max="12" width="2.42578125" style="71" customWidth="1"/>
    <col min="13" max="13" width="15.7109375" style="71" customWidth="1"/>
    <col min="14" max="14" width="19.42578125" style="71" customWidth="1"/>
    <col min="15" max="15" width="19.5703125" style="71" customWidth="1"/>
    <col min="16" max="16" width="14" style="73" customWidth="1"/>
    <col min="17" max="17" width="37" style="71" customWidth="1"/>
    <col min="18" max="18" width="2.7109375" style="397" customWidth="1"/>
    <col min="19" max="20" width="13.7109375" style="73" customWidth="1"/>
    <col min="21" max="21" width="37" style="80" customWidth="1"/>
    <col min="22" max="22" width="13.7109375" style="81" customWidth="1"/>
    <col min="23" max="23" width="13.7109375" style="71" customWidth="1"/>
    <col min="24" max="24" width="30.7109375" style="71" customWidth="1"/>
    <col min="25" max="25" width="18.5703125" style="71" customWidth="1"/>
    <col min="26" max="26" width="11.28515625" style="71" customWidth="1"/>
    <col min="27" max="29" width="8.7109375" style="72"/>
    <col min="30" max="30" width="14.28515625" style="72" customWidth="1"/>
    <col min="31" max="33" width="8.7109375" style="72" customWidth="1"/>
    <col min="34" max="16384" width="8.7109375" style="72"/>
  </cols>
  <sheetData>
    <row r="1" spans="1:50" s="397" customFormat="1" ht="69" customHeight="1" x14ac:dyDescent="0.4">
      <c r="A1" s="393"/>
      <c r="B1" s="394" t="s">
        <v>463</v>
      </c>
      <c r="C1" s="395"/>
      <c r="D1" s="395"/>
      <c r="E1" s="393"/>
      <c r="F1" s="393"/>
      <c r="G1" s="393"/>
      <c r="H1" s="393"/>
      <c r="I1" s="393"/>
      <c r="J1" s="393"/>
      <c r="K1" s="393"/>
      <c r="L1" s="393"/>
      <c r="M1" s="393"/>
      <c r="N1" s="393"/>
      <c r="O1" s="393"/>
      <c r="P1" s="396"/>
      <c r="Q1" s="393"/>
      <c r="S1" s="396"/>
      <c r="T1" s="396"/>
      <c r="U1" s="398"/>
      <c r="V1" s="399"/>
      <c r="W1" s="393"/>
      <c r="X1" s="393"/>
      <c r="Y1" s="393"/>
      <c r="Z1" s="393"/>
    </row>
    <row r="2" spans="1:50" s="397" customFormat="1" ht="18" x14ac:dyDescent="0.2">
      <c r="A2" s="393"/>
      <c r="B2" s="395" t="s">
        <v>413</v>
      </c>
      <c r="C2" s="400"/>
      <c r="D2" s="393"/>
      <c r="E2" s="393"/>
      <c r="F2" s="393"/>
      <c r="G2" s="393"/>
      <c r="H2" s="393"/>
      <c r="I2" s="393"/>
      <c r="J2" s="393"/>
      <c r="K2" s="393"/>
      <c r="L2" s="393"/>
      <c r="M2" s="393"/>
      <c r="N2" s="393"/>
      <c r="O2" s="393"/>
      <c r="P2" s="396"/>
      <c r="Q2" s="393"/>
      <c r="S2" s="396"/>
      <c r="T2" s="396"/>
      <c r="U2" s="398"/>
      <c r="V2" s="399"/>
      <c r="W2" s="393"/>
      <c r="X2" s="393"/>
      <c r="Y2" s="393"/>
      <c r="Z2" s="393"/>
    </row>
    <row r="3" spans="1:50" s="397" customFormat="1" x14ac:dyDescent="0.2">
      <c r="A3" s="393"/>
      <c r="B3" s="401"/>
      <c r="C3" s="400"/>
      <c r="D3" s="393"/>
      <c r="E3" s="393"/>
      <c r="F3" s="393"/>
      <c r="G3" s="393"/>
      <c r="H3" s="393"/>
      <c r="I3" s="393"/>
      <c r="J3" s="393"/>
      <c r="K3" s="393"/>
      <c r="L3" s="393"/>
      <c r="M3" s="393"/>
      <c r="N3" s="393"/>
      <c r="O3" s="393"/>
      <c r="P3" s="396"/>
      <c r="Q3" s="393"/>
      <c r="S3" s="396"/>
      <c r="T3" s="396"/>
      <c r="U3" s="398"/>
      <c r="V3" s="399"/>
      <c r="W3" s="393"/>
      <c r="X3" s="393"/>
      <c r="Y3" s="393"/>
      <c r="Z3" s="393"/>
    </row>
    <row r="4" spans="1:50" s="397" customFormat="1" ht="17.25" customHeight="1" thickBot="1" x14ac:dyDescent="0.25">
      <c r="A4" s="393"/>
      <c r="B4" s="462" t="s">
        <v>480</v>
      </c>
      <c r="C4" s="393"/>
      <c r="D4" s="393"/>
      <c r="E4" s="393"/>
      <c r="F4" s="393"/>
      <c r="G4" s="393"/>
      <c r="H4" s="393"/>
      <c r="I4" s="393"/>
      <c r="J4" s="393"/>
      <c r="K4" s="393"/>
      <c r="L4" s="393"/>
      <c r="M4" s="532"/>
      <c r="N4" s="532"/>
      <c r="O4" s="393"/>
      <c r="P4" s="396"/>
      <c r="Q4" s="393"/>
      <c r="S4" s="396"/>
      <c r="T4" s="396"/>
      <c r="U4" s="398"/>
      <c r="V4" s="399"/>
      <c r="W4" s="393"/>
      <c r="X4" s="393"/>
      <c r="Y4" s="393"/>
      <c r="Z4" s="393"/>
    </row>
    <row r="5" spans="1:50" ht="26.25" customHeight="1" thickBot="1" x14ac:dyDescent="0.25">
      <c r="B5" s="520" t="s">
        <v>315</v>
      </c>
      <c r="C5" s="521"/>
      <c r="D5" s="521"/>
      <c r="E5" s="521"/>
      <c r="F5" s="521"/>
      <c r="G5" s="521"/>
      <c r="H5" s="521"/>
      <c r="I5" s="522"/>
      <c r="J5" s="393"/>
      <c r="K5" s="393"/>
      <c r="L5" s="393"/>
      <c r="M5" s="462" t="s">
        <v>533</v>
      </c>
      <c r="N5" s="393"/>
      <c r="O5" s="393"/>
      <c r="P5" s="398"/>
      <c r="Q5" s="402"/>
      <c r="S5" s="525" t="s">
        <v>289</v>
      </c>
      <c r="T5" s="525"/>
      <c r="U5" s="525"/>
      <c r="V5" s="525"/>
      <c r="W5" s="525"/>
      <c r="X5" s="525"/>
      <c r="Y5" s="525"/>
      <c r="Z5" s="525"/>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row>
    <row r="6" spans="1:50" ht="18.75" thickBot="1" x14ac:dyDescent="0.25">
      <c r="B6" s="383" t="s">
        <v>141</v>
      </c>
      <c r="C6" s="85"/>
      <c r="D6" s="85"/>
      <c r="E6" s="384" t="s">
        <v>142</v>
      </c>
      <c r="F6" s="85"/>
      <c r="G6" s="85"/>
      <c r="H6" s="540" t="s">
        <v>143</v>
      </c>
      <c r="I6" s="541"/>
      <c r="J6" s="403"/>
      <c r="K6" s="403"/>
      <c r="L6" s="393"/>
      <c r="M6" s="403"/>
      <c r="N6" s="393"/>
      <c r="O6" s="393"/>
      <c r="P6" s="404"/>
      <c r="Q6" s="405"/>
      <c r="R6" s="406"/>
      <c r="S6" s="427"/>
      <c r="T6" s="428"/>
      <c r="U6" s="428"/>
      <c r="V6" s="399"/>
      <c r="W6" s="403"/>
      <c r="X6" s="393"/>
      <c r="Y6" s="393"/>
      <c r="Z6" s="393"/>
      <c r="AA6" s="397"/>
      <c r="AB6" s="397"/>
      <c r="AC6" s="397"/>
      <c r="AD6" s="397"/>
      <c r="AE6" s="397"/>
      <c r="AF6" s="397"/>
      <c r="AG6" s="397"/>
      <c r="AH6" s="397"/>
      <c r="AI6" s="397"/>
      <c r="AJ6" s="397"/>
      <c r="AK6" s="397"/>
      <c r="AL6" s="397"/>
      <c r="AM6" s="397"/>
      <c r="AN6" s="397"/>
      <c r="AO6" s="397"/>
      <c r="AP6" s="397"/>
      <c r="AQ6" s="397"/>
      <c r="AR6" s="397"/>
      <c r="AS6" s="397"/>
      <c r="AT6" s="397"/>
      <c r="AU6" s="397"/>
      <c r="AV6" s="397"/>
      <c r="AW6" s="397"/>
      <c r="AX6" s="397"/>
    </row>
    <row r="7" spans="1:50" ht="60" customHeight="1" x14ac:dyDescent="0.2">
      <c r="B7" s="372" t="s">
        <v>144</v>
      </c>
      <c r="C7" s="373"/>
      <c r="D7" s="373"/>
      <c r="E7" s="374" t="s">
        <v>139</v>
      </c>
      <c r="F7" s="373"/>
      <c r="G7" s="373"/>
      <c r="H7" s="533" t="s">
        <v>279</v>
      </c>
      <c r="I7" s="542"/>
      <c r="J7" s="533" t="s">
        <v>156</v>
      </c>
      <c r="K7" s="534"/>
      <c r="L7" s="526" t="s">
        <v>138</v>
      </c>
      <c r="M7" s="385" t="s">
        <v>369</v>
      </c>
      <c r="N7" s="385" t="s">
        <v>238</v>
      </c>
      <c r="O7" s="386" t="s">
        <v>232</v>
      </c>
      <c r="P7" s="370" t="str">
        <f>Database!K3</f>
        <v>Relatieve score MKI</v>
      </c>
      <c r="Q7" s="371" t="str">
        <f>Database!V3</f>
        <v>Opmerkingen voor gebruikers</v>
      </c>
      <c r="S7" s="377" t="str">
        <f>Database!T3</f>
        <v>Dikte</v>
      </c>
      <c r="T7" s="378" t="s">
        <v>222</v>
      </c>
      <c r="U7" s="378" t="s">
        <v>158</v>
      </c>
      <c r="V7" s="379" t="str">
        <f>Database!N3</f>
        <v>MKI / jaar</v>
      </c>
      <c r="W7" s="380" t="s">
        <v>27</v>
      </c>
      <c r="X7" s="380" t="str">
        <f>Database!Y3</f>
        <v>Databron</v>
      </c>
      <c r="Y7" s="381" t="s">
        <v>260</v>
      </c>
      <c r="Z7" s="382" t="s">
        <v>241</v>
      </c>
      <c r="AA7" s="397"/>
      <c r="AB7" s="397"/>
      <c r="AC7" s="397"/>
      <c r="AD7" s="397"/>
      <c r="AE7" s="397"/>
      <c r="AF7" s="397"/>
      <c r="AG7" s="397"/>
      <c r="AH7" s="397"/>
      <c r="AI7" s="397"/>
      <c r="AJ7" s="397"/>
      <c r="AK7" s="397"/>
      <c r="AL7" s="397"/>
      <c r="AM7" s="397"/>
      <c r="AN7" s="397"/>
      <c r="AO7" s="397"/>
      <c r="AP7" s="397"/>
      <c r="AQ7" s="397"/>
      <c r="AR7" s="397"/>
      <c r="AS7" s="397"/>
      <c r="AT7" s="397"/>
      <c r="AU7" s="397"/>
      <c r="AV7" s="397"/>
      <c r="AW7" s="397"/>
      <c r="AX7" s="397"/>
    </row>
    <row r="8" spans="1:50" s="75" customFormat="1" ht="31.5" customHeight="1" thickBot="1" x14ac:dyDescent="0.25">
      <c r="A8" s="431"/>
      <c r="B8" s="52"/>
      <c r="E8" s="53"/>
      <c r="H8" s="543"/>
      <c r="I8" s="544"/>
      <c r="J8" s="54" t="s">
        <v>157</v>
      </c>
      <c r="K8" s="55"/>
      <c r="L8" s="527"/>
      <c r="M8" s="387" t="s">
        <v>237</v>
      </c>
      <c r="N8" s="388" t="s">
        <v>237</v>
      </c>
      <c r="O8" s="388" t="s">
        <v>242</v>
      </c>
      <c r="P8" s="299" t="s">
        <v>295</v>
      </c>
      <c r="Q8" s="56"/>
      <c r="R8" s="407"/>
      <c r="S8" s="98" t="s">
        <v>227</v>
      </c>
      <c r="T8" s="111" t="s">
        <v>227</v>
      </c>
      <c r="U8" s="111"/>
      <c r="V8" s="99" t="s">
        <v>245</v>
      </c>
      <c r="W8" s="100" t="s">
        <v>240</v>
      </c>
      <c r="X8" s="100" t="str">
        <f>Database!Y4</f>
        <v>(DuboCalc item)</v>
      </c>
      <c r="Y8" s="101"/>
      <c r="Z8" s="102" t="s">
        <v>140</v>
      </c>
      <c r="AA8" s="408"/>
      <c r="AB8" s="408"/>
      <c r="AC8" s="408"/>
      <c r="AD8" s="413"/>
      <c r="AE8" s="414"/>
      <c r="AF8" s="415"/>
      <c r="AG8" s="416"/>
      <c r="AH8" s="408"/>
      <c r="AI8" s="408"/>
      <c r="AJ8" s="408"/>
      <c r="AK8" s="408"/>
      <c r="AL8" s="408"/>
      <c r="AM8" s="408"/>
      <c r="AN8" s="408"/>
      <c r="AO8" s="408"/>
      <c r="AP8" s="408"/>
      <c r="AQ8" s="408"/>
      <c r="AR8" s="408"/>
      <c r="AS8" s="408"/>
      <c r="AT8" s="408"/>
      <c r="AU8" s="408"/>
      <c r="AV8" s="408"/>
      <c r="AW8" s="408"/>
      <c r="AX8" s="408"/>
    </row>
    <row r="9" spans="1:50" ht="36" customHeight="1" thickBot="1" x14ac:dyDescent="0.25">
      <c r="B9" s="389" t="s">
        <v>180</v>
      </c>
      <c r="C9" s="85"/>
      <c r="D9" s="85"/>
      <c r="E9" s="389" t="s">
        <v>14</v>
      </c>
      <c r="F9" s="85"/>
      <c r="G9" s="85"/>
      <c r="H9" s="545">
        <v>100</v>
      </c>
      <c r="I9" s="546"/>
      <c r="J9" s="436">
        <v>1</v>
      </c>
      <c r="K9" s="48" t="str">
        <f ca="1">IF($AG$11&gt;0,IF($AG$11&gt;0,OFFSET(Database!$C$4,MATCH($AF$11,Database!$F$5:$F$465,0),5,,)),"")</f>
        <v>zand</v>
      </c>
      <c r="L9" s="9" t="s">
        <v>138</v>
      </c>
      <c r="M9" s="92">
        <f ca="1">IF(K9&gt;"",INDEX(Database!$P$5:$P$465,MATCH(Z9,Database!$I$5:$I$465,0)),"")</f>
        <v>100</v>
      </c>
      <c r="N9" s="18">
        <f ca="1">IF(K9&gt;"",$H$9,"")</f>
        <v>100</v>
      </c>
      <c r="O9" s="169">
        <f ca="1">IF(K9&gt;"",INDEX(Database!$S$5:$S$464,MATCH(Z9,Database!$I$5:$I$465,0)),"")</f>
        <v>0</v>
      </c>
      <c r="P9" s="300">
        <f ca="1">IF(K9&gt;"",INDEX(Database!$L$5:$L$464,MATCH(Z9,Database!$I$5:$I$465,0)),)</f>
        <v>0.14168579604083242</v>
      </c>
      <c r="Q9" s="160">
        <f ca="1">IF(K9&gt;"",INDEX(Database!$V$5:$V$464,MATCH(Z9,Database!$I$5:$I$465,0)),"")</f>
        <v>0</v>
      </c>
      <c r="S9" s="285">
        <f ca="1">IF(K9&gt;"",INDEX(Database!$T$5:$T$464,MATCH(Z9,Database!$I$5:$I$464,0)),"")</f>
        <v>0.5</v>
      </c>
      <c r="T9" s="485">
        <f ca="1">IF(K9&gt;"",INDEX(Database!$U$5:$U$464,MATCH(Z9,Database!$I$5:$I$464,0)),"")</f>
        <v>0</v>
      </c>
      <c r="U9" s="409" t="str">
        <f ca="1">IF(K9&gt;"",INDEX(Database!$W$5:$W$464,MATCH(Z9,Database!$I$5:$I$464,0)),"")</f>
        <v>willekeurige situatie</v>
      </c>
      <c r="V9" s="171">
        <f ca="1">IF(K9&gt;"",INDEX(Database!$N$5:$N$464,MATCH(Z9,Database!$I$5:$I$464,0)),"")</f>
        <v>2.1642399999999999E-2</v>
      </c>
      <c r="W9" s="108" t="str">
        <f ca="1">IF(K9&gt;"",INDEX(Database!$J$5:$J$464,MATCH(Z9,Database!$I$5:$I$464,0)),"")</f>
        <v>m2</v>
      </c>
      <c r="X9" s="105" t="str">
        <f ca="1">IF(K9&gt;"",INDEX(Database!$Y$5:$Y$2451,MATCH(Z9,Database!$I$5:$I$464,0)),"")</f>
        <v>Ophoogmateriaal, zand</v>
      </c>
      <c r="Y9" s="164" t="str" cm="1">
        <f t="array" aca="1" ref="Y9" ca="1">IF(X9&gt;"",HYPERLINK("#"&amp;CELL("address",INDEX('MKI-waarden'!$A$4:$A$219, MATCH('Invoer en resultaat'!X9, 'MKI-waarden'!$A$4:$A$219,0))),"Zie opsplitsing MKI"),"")</f>
        <v>Zie opsplitsing MKI</v>
      </c>
      <c r="Z9" s="161" cm="1">
        <f t="array" aca="1" ref="Z9" ca="1">IF(K9&gt;"",INDEX(Database!$I$5:$I$464, MATCH(1,(Database!$E$5:$E$464='Invoer en resultaat'!$E$9)*(Database!$H$5:$H$464='Invoer en resultaat'!K9),0)),"")</f>
        <v>123</v>
      </c>
      <c r="AA9" s="397"/>
      <c r="AB9" s="397"/>
      <c r="AC9" s="397"/>
      <c r="AD9" s="51"/>
      <c r="AE9" s="82"/>
      <c r="AF9" s="417"/>
      <c r="AG9" s="418"/>
      <c r="AH9" s="397"/>
      <c r="AI9" s="397"/>
      <c r="AJ9" s="397"/>
      <c r="AK9" s="397"/>
      <c r="AL9" s="397"/>
      <c r="AM9" s="397"/>
      <c r="AN9" s="397"/>
      <c r="AO9" s="397"/>
      <c r="AP9" s="397"/>
      <c r="AQ9" s="397"/>
      <c r="AR9" s="397"/>
      <c r="AS9" s="397"/>
      <c r="AT9" s="397"/>
      <c r="AU9" s="397"/>
      <c r="AV9" s="397"/>
      <c r="AW9" s="397"/>
      <c r="AX9" s="397"/>
    </row>
    <row r="10" spans="1:50" ht="36" customHeight="1" thickBot="1" x14ac:dyDescent="0.25">
      <c r="B10" s="432" t="s">
        <v>411</v>
      </c>
      <c r="C10" s="433"/>
      <c r="D10" s="433"/>
      <c r="E10" s="433"/>
      <c r="F10" s="391"/>
      <c r="G10" s="391"/>
      <c r="H10" s="435"/>
      <c r="I10" s="435"/>
      <c r="J10" s="435">
        <f>J9+1</f>
        <v>2</v>
      </c>
      <c r="K10" s="49" t="str">
        <f ca="1">IF($AG$11&gt;1,IF($AG$11&gt;1,OFFSET(Database!$C$4,MATCH($AF$11,Database!$F$5:$F$465,0)+1,5,,)),"")</f>
        <v>granulaat</v>
      </c>
      <c r="L10" s="5" t="s">
        <v>138</v>
      </c>
      <c r="M10" s="92">
        <f ca="1">IF(K10&gt;"",INDEX(Database!$P$5:$P$465,MATCH(Z10,Database!$I$5:$I$465,0)),"")</f>
        <v>100</v>
      </c>
      <c r="N10" s="19">
        <f t="shared" ref="N10:N28" ca="1" si="0">IF(K10&gt;"",$H$9,"")</f>
        <v>100</v>
      </c>
      <c r="O10" s="167">
        <f ca="1">IF(K10&gt;"",INDEX(Database!$S$5:$S$464,MATCH(Z10,Database!$I$5:$I$465,0)),"")</f>
        <v>0</v>
      </c>
      <c r="P10" s="291">
        <f ca="1">IF(K10&gt;"",INDEX(Database!$L$5:$L$464,MATCH(Z10,Database!$I$5:$I$465,0)),)</f>
        <v>0.82817579301269928</v>
      </c>
      <c r="Q10" s="168">
        <f ca="1">IF(K10&gt;"",INDEX(Database!$V$5:$V$464,MATCH(Z10,Database!$I$5:$I$465,0)),"")</f>
        <v>0</v>
      </c>
      <c r="S10" s="286">
        <f ca="1">IF(K10&gt;"",INDEX(Database!$T$5:$T$464,MATCH(Z10,Database!$I$5:$I$464,0)),"")</f>
        <v>0.35</v>
      </c>
      <c r="T10" s="486">
        <f ca="1">IF(K10&gt;"",INDEX(Database!$U$5:$U$464,MATCH(Z10,Database!$I$5:$I$464,0)),"")</f>
        <v>0</v>
      </c>
      <c r="U10" s="410" t="str">
        <f ca="1">IF(K10&gt;"",INDEX(Database!$W$5:$W$464,MATCH(Z10,Database!$I$5:$I$464,0)),"")</f>
        <v>willekeurige situatie</v>
      </c>
      <c r="V10" s="172">
        <f ca="1">IF(K10&gt;"",INDEX(Database!$N$5:$N$464,MATCH(Z10,Database!$I$5:$I$464,0)),"")</f>
        <v>4.3325488499999995E-3</v>
      </c>
      <c r="W10" s="109" t="str">
        <f ca="1">IF(K10&gt;"",INDEX(Database!$J$5:$J$464,MATCH(Z10,Database!$I$5:$I$464,0)),"")</f>
        <v>m2</v>
      </c>
      <c r="X10" s="106" t="str">
        <f ca="1">IF(K10&gt;"",INDEX(Database!$Y$5:$Y$2451,MATCH(Z10,Database!$I$5:$I$464,0)),"")</f>
        <v>Funderingslaag Menggranulaat 300mm</v>
      </c>
      <c r="Y10" s="165" t="str" cm="1">
        <f t="array" aca="1" ref="Y10" ca="1">IF(X10&gt;"",HYPERLINK("#"&amp;CELL("address",INDEX('MKI-waarden'!$A$4:$A$219, MATCH('Invoer en resultaat'!X10, 'MKI-waarden'!$A$4:$A$219,0))),"Zie opsplitsing MKI"),"")</f>
        <v>Zie opsplitsing MKI</v>
      </c>
      <c r="Z10" s="162" cm="1">
        <f t="array" aca="1" ref="Z10" ca="1">IF(K10&gt;"",INDEX(Database!$I$5:$I$464, MATCH(1,(Database!$E$5:$E$464='Invoer en resultaat'!$E$9)*(Database!$H$5:$H$464='Invoer en resultaat'!K10),0)),"")</f>
        <v>124</v>
      </c>
      <c r="AA10" s="397"/>
      <c r="AB10" s="397"/>
      <c r="AC10" s="397"/>
      <c r="AD10" s="419" t="s">
        <v>140</v>
      </c>
      <c r="AE10" s="420" t="s">
        <v>155</v>
      </c>
      <c r="AF10" s="421" t="s">
        <v>140</v>
      </c>
      <c r="AG10" s="422" t="s">
        <v>155</v>
      </c>
      <c r="AH10" s="397"/>
      <c r="AI10" s="397"/>
      <c r="AJ10" s="397"/>
      <c r="AK10" s="397"/>
      <c r="AL10" s="397"/>
      <c r="AM10" s="397"/>
      <c r="AN10" s="397"/>
      <c r="AO10" s="397"/>
      <c r="AP10" s="397"/>
      <c r="AQ10" s="397"/>
      <c r="AR10" s="397"/>
      <c r="AS10" s="397"/>
      <c r="AT10" s="397"/>
      <c r="AU10" s="397"/>
      <c r="AV10" s="397"/>
      <c r="AW10" s="397"/>
      <c r="AX10" s="397"/>
    </row>
    <row r="11" spans="1:50" ht="32.65" customHeight="1" x14ac:dyDescent="0.2">
      <c r="B11" s="393"/>
      <c r="C11" s="433"/>
      <c r="D11" s="433"/>
      <c r="E11" s="393"/>
      <c r="G11" s="74"/>
      <c r="H11" s="375" t="str">
        <f>M7</f>
        <v xml:space="preserve">Technische levensduur </v>
      </c>
      <c r="I11" s="93"/>
      <c r="J11" s="435">
        <f t="shared" ref="J11:J28" si="1">J10+1</f>
        <v>3</v>
      </c>
      <c r="K11" s="50" t="str">
        <f ca="1">IF($AG$11&gt;2,IF($AG$11&gt;2,OFFSET(Database!$C$4,MATCH($AF$11,Database!$F$5:$F$465,0)+2,5,,)),"")</f>
        <v>bims</v>
      </c>
      <c r="L11" s="5" t="s">
        <v>138</v>
      </c>
      <c r="M11" s="92">
        <f ca="1">IF(K11&gt;"",INDEX(Database!$P$5:$P$465,MATCH(Z11,Database!$I$5:$I$465,0)),"")</f>
        <v>100</v>
      </c>
      <c r="N11" s="19">
        <f t="shared" ca="1" si="0"/>
        <v>100</v>
      </c>
      <c r="O11" s="167">
        <f ca="1">IF(K11&gt;"",INDEX(Database!$S$5:$S$464,MATCH(Z11,Database!$I$5:$I$465,0)),"")</f>
        <v>0</v>
      </c>
      <c r="P11" s="291">
        <f ca="1">IF(K11&gt;"",INDEX(Database!$L$5:$L$464,MATCH(Z11,Database!$I$5:$I$465,0)),)</f>
        <v>-0.90101549384522572</v>
      </c>
      <c r="Q11" s="168">
        <f ca="1">IF(K11&gt;"",INDEX(Database!$V$5:$V$464,MATCH(Z11,Database!$I$5:$I$465,0)),"")</f>
        <v>0</v>
      </c>
      <c r="S11" s="286">
        <f ca="1">IF(K11&gt;"",INDEX(Database!$T$5:$T$464,MATCH(Z11,Database!$I$5:$I$464,0)),"")</f>
        <v>0.5</v>
      </c>
      <c r="T11" s="486">
        <f ca="1">IF(K11&gt;"",INDEX(Database!$U$5:$U$464,MATCH(Z11,Database!$I$5:$I$464,0)),"")</f>
        <v>0</v>
      </c>
      <c r="U11" s="410" t="str">
        <f ca="1">IF(K11&gt;"",INDEX(Database!$W$5:$W$464,MATCH(Z11,Database!$I$5:$I$464,0)),"")</f>
        <v>willekeurige situatie</v>
      </c>
      <c r="V11" s="172">
        <f ca="1">IF(K11&gt;"",INDEX(Database!$N$5:$N$464,MATCH(Z11,Database!$I$5:$I$464,0)),"")</f>
        <v>4.7934121949999998E-2</v>
      </c>
      <c r="W11" s="109" t="str">
        <f ca="1">IF(K11&gt;"",INDEX(Database!$J$5:$J$464,MATCH(Z11,Database!$I$5:$I$464,0)),"")</f>
        <v>m2</v>
      </c>
      <c r="X11" s="106" t="str">
        <f ca="1">IF(K11&gt;"",INDEX(Database!$Y$5:$Y$2451,MATCH(Z11,Database!$I$5:$I$464,0)),"")</f>
        <v>Grondwerken, lichte ophoogmaterialen, BIMS (yali)</v>
      </c>
      <c r="Y11" s="165" t="str" cm="1">
        <f t="array" aca="1" ref="Y11" ca="1">IF(X11&gt;"",HYPERLINK("#"&amp;CELL("address",INDEX('MKI-waarden'!$A$4:$A$219, MATCH('Invoer en resultaat'!X11, 'MKI-waarden'!$A$4:$A$219,0))),"Zie opsplitsing MKI"),"")</f>
        <v>Zie opsplitsing MKI</v>
      </c>
      <c r="Z11" s="162" cm="1">
        <f t="array" aca="1" ref="Z11" ca="1">IF(K11&gt;"",INDEX(Database!$I$5:$I$464, MATCH(1,(Database!$E$5:$E$464='Invoer en resultaat'!$E$9)*(Database!$H$5:$H$464='Invoer en resultaat'!K11),0)),"")</f>
        <v>125</v>
      </c>
      <c r="AA11" s="397"/>
      <c r="AB11" s="397"/>
      <c r="AC11" s="397"/>
      <c r="AD11" s="423">
        <f>VLOOKUP(B$9,Database!B5:C464,2,0)</f>
        <v>11</v>
      </c>
      <c r="AE11" s="424">
        <f>COUNTIF(Database!C5:C464,AD11)</f>
        <v>25</v>
      </c>
      <c r="AF11" s="425">
        <f>IF($E9="","",VLOOKUP($E9,Database!E5:F464,2,0))</f>
        <v>20</v>
      </c>
      <c r="AG11" s="426">
        <f>COUNTIF(Database!E5:F464,AF11)</f>
        <v>6</v>
      </c>
      <c r="AH11" s="397"/>
      <c r="AI11" s="397"/>
      <c r="AJ11" s="397"/>
      <c r="AK11" s="397"/>
      <c r="AL11" s="397"/>
      <c r="AM11" s="397"/>
      <c r="AN11" s="397"/>
      <c r="AO11" s="397"/>
      <c r="AP11" s="397"/>
      <c r="AQ11" s="397"/>
      <c r="AR11" s="397"/>
      <c r="AS11" s="397"/>
      <c r="AT11" s="397"/>
      <c r="AU11" s="397"/>
      <c r="AV11" s="397"/>
      <c r="AW11" s="397"/>
      <c r="AX11" s="397"/>
    </row>
    <row r="12" spans="1:50" ht="26.65" customHeight="1" x14ac:dyDescent="0.2">
      <c r="B12" s="433"/>
      <c r="C12" s="433"/>
      <c r="D12" s="433"/>
      <c r="E12" s="539"/>
      <c r="G12" s="74"/>
      <c r="H12" s="535" t="s">
        <v>231</v>
      </c>
      <c r="I12" s="530"/>
      <c r="J12" s="435">
        <f t="shared" si="1"/>
        <v>4</v>
      </c>
      <c r="K12" s="50" t="str">
        <f ca="1">IF($AG$11&gt;3,IF($AG$11&gt;3,OFFSET(Database!$C$4,MATCH($AF$11,Database!$F$5:$F$465,0)+3,5,,)),"")</f>
        <v>schuimbeton</v>
      </c>
      <c r="L12" s="5" t="s">
        <v>138</v>
      </c>
      <c r="M12" s="92">
        <f ca="1">IF(K12&gt;"",INDEX(Database!$P$5:$P$465,MATCH(Z12,Database!$I$5:$I$465,0)),"")</f>
        <v>100</v>
      </c>
      <c r="N12" s="19">
        <f t="shared" ca="1" si="0"/>
        <v>100</v>
      </c>
      <c r="O12" s="167">
        <f ca="1">IF(K12&gt;"",INDEX(Database!$S$5:$S$464,MATCH(Z12,Database!$I$5:$I$465,0)),"")</f>
        <v>0</v>
      </c>
      <c r="P12" s="291">
        <f ca="1">IF(K12&gt;"",INDEX(Database!$L$5:$L$464,MATCH(Z12,Database!$I$5:$I$465,0)),)</f>
        <v>0.76035019041849572</v>
      </c>
      <c r="Q12" s="168">
        <f ca="1">IF(K12&gt;"",INDEX(Database!$V$5:$V$464,MATCH(Z12,Database!$I$5:$I$465,0)),"")</f>
        <v>0</v>
      </c>
      <c r="S12" s="286">
        <f ca="1">IF(K12&gt;"",INDEX(Database!$T$5:$T$464,MATCH(Z12,Database!$I$5:$I$464,0)),"")</f>
        <v>0.5</v>
      </c>
      <c r="T12" s="486">
        <f ca="1">IF(K12&gt;"",INDEX(Database!$U$5:$U$464,MATCH(Z12,Database!$I$5:$I$464,0)),"")</f>
        <v>0</v>
      </c>
      <c r="U12" s="410" t="str">
        <f ca="1">IF(K12&gt;"",INDEX(Database!$W$5:$W$464,MATCH(Z12,Database!$I$5:$I$464,0)),"")</f>
        <v>willekeurige situatie</v>
      </c>
      <c r="V12" s="172">
        <f ca="1">IF(K12&gt;"",INDEX(Database!$N$5:$N$464,MATCH(Z12,Database!$I$5:$I$464,0)),"")</f>
        <v>6.0427719999999992E-3</v>
      </c>
      <c r="W12" s="109" t="str">
        <f ca="1">IF(K12&gt;"",INDEX(Database!$J$5:$J$464,MATCH(Z12,Database!$I$5:$I$464,0)),"")</f>
        <v>m2</v>
      </c>
      <c r="X12" s="106" t="str">
        <f ca="1">IF(K12&gt;"",INDEX(Database!$Y$5:$Y$2451,MATCH(Z12,Database!$I$5:$I$464,0)),"")</f>
        <v xml:space="preserve">Schuimbeton </v>
      </c>
      <c r="Y12" s="165" t="str" cm="1">
        <f t="array" aca="1" ref="Y12" ca="1">IF(X12&gt;"",HYPERLINK("#"&amp;CELL("address",INDEX('MKI-waarden'!$A$4:$A$219, MATCH('Invoer en resultaat'!X12, 'MKI-waarden'!$A$4:$A$219,0))),"Zie opsplitsing MKI"),"")</f>
        <v>Zie opsplitsing MKI</v>
      </c>
      <c r="Z12" s="162" cm="1">
        <f t="array" aca="1" ref="Z12" ca="1">IF(K12&gt;"",INDEX(Database!$I$5:$I$464, MATCH(1,(Database!$E$5:$E$464='Invoer en resultaat'!$E$9)*(Database!$H$5:$H$464='Invoer en resultaat'!K12),0)),"")</f>
        <v>126</v>
      </c>
      <c r="AA12" s="397"/>
      <c r="AB12" s="397"/>
      <c r="AC12" s="397"/>
      <c r="AD12" s="397"/>
      <c r="AE12" s="397"/>
      <c r="AF12" s="397"/>
      <c r="AG12" s="397"/>
      <c r="AH12" s="397"/>
      <c r="AI12" s="397"/>
      <c r="AJ12" s="397"/>
      <c r="AK12" s="397"/>
      <c r="AL12" s="397"/>
      <c r="AM12" s="397"/>
      <c r="AN12" s="397"/>
      <c r="AO12" s="397"/>
      <c r="AP12" s="397"/>
      <c r="AQ12" s="397"/>
      <c r="AR12" s="397"/>
      <c r="AS12" s="397"/>
      <c r="AT12" s="397"/>
      <c r="AU12" s="397"/>
      <c r="AV12" s="397"/>
      <c r="AW12" s="397"/>
      <c r="AX12" s="397"/>
    </row>
    <row r="13" spans="1:50" ht="26.65" customHeight="1" x14ac:dyDescent="0.2">
      <c r="B13" s="433"/>
      <c r="C13" s="433"/>
      <c r="D13" s="433"/>
      <c r="E13" s="539"/>
      <c r="G13" s="74"/>
      <c r="H13" s="536"/>
      <c r="I13" s="531"/>
      <c r="J13" s="435">
        <f t="shared" si="1"/>
        <v>5</v>
      </c>
      <c r="K13" s="50" t="str">
        <f ca="1">IF($AG$11&gt;4,IF($AG$11&gt;4,OFFSET(Database!$C$4,MATCH($AF$11,Database!$F$5:$F$465,0)+4,5,,)),"")</f>
        <v>eps (piepschuim)</v>
      </c>
      <c r="L13" s="5" t="s">
        <v>138</v>
      </c>
      <c r="M13" s="92">
        <f ca="1">IF(K13&gt;"",INDEX(Database!$P$5:$P$465,MATCH(Z13,Database!$I$5:$I$465,0)),"")</f>
        <v>50</v>
      </c>
      <c r="N13" s="19">
        <f t="shared" ca="1" si="0"/>
        <v>100</v>
      </c>
      <c r="O13" s="167">
        <f ca="1">IF(K13&gt;"",INDEX(Database!$S$5:$S$464,MATCH(Z13,Database!$I$5:$I$465,0)),"")</f>
        <v>1</v>
      </c>
      <c r="P13" s="291">
        <f ca="1">IF(K13&gt;"",INDEX(Database!$L$5:$L$464,MATCH(Z13,Database!$I$5:$I$465,0)),)</f>
        <v>-0.82919628562680137</v>
      </c>
      <c r="Q13" s="168">
        <f ca="1">IF(K13&gt;"",INDEX(Database!$V$5:$V$464,MATCH(Z13,Database!$I$5:$I$465,0)),"")</f>
        <v>0</v>
      </c>
      <c r="S13" s="286">
        <f ca="1">IF(K13&gt;"",INDEX(Database!$T$5:$T$464,MATCH(Z13,Database!$I$5:$I$464,0)),"")</f>
        <v>0.5</v>
      </c>
      <c r="T13" s="486">
        <f ca="1">IF(K13&gt;"",INDEX(Database!$U$5:$U$464,MATCH(Z13,Database!$I$5:$I$464,0)),"")</f>
        <v>0</v>
      </c>
      <c r="U13" s="410" t="str">
        <f ca="1">IF(K13&gt;"",INDEX(Database!$W$5:$W$464,MATCH(Z13,Database!$I$5:$I$464,0)),"")</f>
        <v>willekeurige situatie</v>
      </c>
      <c r="V13" s="172">
        <f ca="1">IF(K13&gt;"",INDEX(Database!$N$5:$N$464,MATCH(Z13,Database!$I$5:$I$464,0)),"")</f>
        <v>4.6123200000000003E-2</v>
      </c>
      <c r="W13" s="109" t="str">
        <f ca="1">IF(K13&gt;"",INDEX(Database!$J$5:$J$464,MATCH(Z13,Database!$I$5:$I$464,0)),"")</f>
        <v>m2</v>
      </c>
      <c r="X13" s="106" t="str">
        <f ca="1">IF(K13&gt;"",INDEX(Database!$Y$5:$Y$2451,MATCH(Z13,Database!$I$5:$I$464,0)),"")</f>
        <v>Ophoogmateriaal, EPS</v>
      </c>
      <c r="Y13" s="165" t="str" cm="1">
        <f t="array" aca="1" ref="Y13" ca="1">IF(X13&gt;"",HYPERLINK("#"&amp;CELL("address",INDEX('MKI-waarden'!$A$4:$A$219, MATCH('Invoer en resultaat'!X13, 'MKI-waarden'!$A$4:$A$219,0))),"Zie opsplitsing MKI"),"")</f>
        <v>Zie opsplitsing MKI</v>
      </c>
      <c r="Z13" s="162" cm="1">
        <f t="array" aca="1" ref="Z13" ca="1">IF(K13&gt;"",INDEX(Database!$I$5:$I$464, MATCH(1,(Database!$E$5:$E$464='Invoer en resultaat'!$E$9)*(Database!$H$5:$H$464='Invoer en resultaat'!K13),0)),"")</f>
        <v>127</v>
      </c>
      <c r="AA13" s="397"/>
      <c r="AB13" s="397"/>
      <c r="AC13" s="397"/>
      <c r="AD13" s="397"/>
      <c r="AE13" s="397"/>
      <c r="AF13" s="397"/>
      <c r="AG13" s="397"/>
      <c r="AH13" s="397"/>
      <c r="AI13" s="397"/>
      <c r="AJ13" s="397"/>
      <c r="AK13" s="397"/>
      <c r="AL13" s="397"/>
      <c r="AM13" s="397"/>
      <c r="AN13" s="397"/>
      <c r="AO13" s="397"/>
      <c r="AP13" s="397"/>
      <c r="AQ13" s="397"/>
      <c r="AR13" s="397"/>
      <c r="AS13" s="397"/>
      <c r="AT13" s="397"/>
      <c r="AU13" s="397"/>
      <c r="AV13" s="397"/>
      <c r="AW13" s="397"/>
      <c r="AX13" s="397"/>
    </row>
    <row r="14" spans="1:50" ht="26.25" customHeight="1" x14ac:dyDescent="0.2">
      <c r="B14" s="433"/>
      <c r="C14" s="433"/>
      <c r="D14" s="433"/>
      <c r="E14" s="393"/>
      <c r="G14" s="74"/>
      <c r="H14" s="547" t="s">
        <v>391</v>
      </c>
      <c r="I14" s="528"/>
      <c r="J14" s="435">
        <f t="shared" si="1"/>
        <v>6</v>
      </c>
      <c r="K14" s="50" t="str">
        <f ca="1">IF($AG$11&gt;5,IF($AG$11&gt;5,OFFSET(Database!$C$4,MATCH($AF$11,Database!$F$5:$F$465,0)+5,5,,)),"")</f>
        <v>baggerspecie blokken</v>
      </c>
      <c r="L14" s="5" t="s">
        <v>138</v>
      </c>
      <c r="M14" s="92">
        <f ca="1">IF(K14&gt;"",INDEX(Database!$P$5:$P$465,MATCH(Z14,Database!$I$5:$I$465,0)),"")</f>
        <v>100</v>
      </c>
      <c r="N14" s="19">
        <f t="shared" ca="1" si="0"/>
        <v>100</v>
      </c>
      <c r="O14" s="167">
        <f ca="1">IF(K14&gt;"",INDEX(Database!$S$5:$S$464,MATCH(Z14,Database!$I$5:$I$465,0)),"")</f>
        <v>0</v>
      </c>
      <c r="P14" s="291">
        <f ca="1">IF(K14&gt;"",INDEX(Database!$L$5:$L$464,MATCH(Z14,Database!$I$5:$I$465,0)),)</f>
        <v>0</v>
      </c>
      <c r="Q14" s="168" t="str">
        <f ca="1">IF(K14&gt;"",INDEX(Database!$V$5:$V$464,MATCH(Z14,Database!$I$5:$I$465,0)),"")</f>
        <v>Innovatieve optie, nog geen MKI beschikbaar</v>
      </c>
      <c r="S14" s="286">
        <f ca="1">IF(K14&gt;"",INDEX(Database!$T$5:$T$464,MATCH(Z14,Database!$I$5:$I$464,0)),"")</f>
        <v>0</v>
      </c>
      <c r="T14" s="486">
        <f ca="1">IF(K14&gt;"",INDEX(Database!$U$5:$U$464,MATCH(Z14,Database!$I$5:$I$464,0)),"")</f>
        <v>0</v>
      </c>
      <c r="U14" s="410">
        <f ca="1">IF(K14&gt;"",INDEX(Database!$W$5:$W$464,MATCH(Z14,Database!$I$5:$I$464,0)),"")</f>
        <v>0</v>
      </c>
      <c r="V14" s="172">
        <f ca="1">IF(K14&gt;"",INDEX(Database!$N$5:$N$464,MATCH(Z14,Database!$I$5:$I$464,0)),"")</f>
        <v>0</v>
      </c>
      <c r="W14" s="109" t="str">
        <f ca="1">IF(K14&gt;"",INDEX(Database!$J$5:$J$464,MATCH(Z14,Database!$I$5:$I$464,0)),"")</f>
        <v>m2</v>
      </c>
      <c r="X14" s="106">
        <f ca="1">IF(K14&gt;"",INDEX(Database!$Y$5:$Y$2451,MATCH(Z14,Database!$I$5:$I$464,0)),"")</f>
        <v>0</v>
      </c>
      <c r="Y14" s="165" t="str" cm="1">
        <f t="array" aca="1" ref="Y14" ca="1">IF(X14&gt;"",HYPERLINK("#"&amp;CELL("address",INDEX('MKI-waarden'!$A$4:$A$219, MATCH('Invoer en resultaat'!X14, 'MKI-waarden'!$A$4:$A$219,0))),"Zie opsplitsing MKI"),"")</f>
        <v/>
      </c>
      <c r="Z14" s="162" cm="1">
        <f t="array" aca="1" ref="Z14" ca="1">IF(K14&gt;"",INDEX(Database!$I$5:$I$464, MATCH(1,(Database!$E$5:$E$464='Invoer en resultaat'!$E$9)*(Database!$H$5:$H$464='Invoer en resultaat'!K14),0)),"")</f>
        <v>128</v>
      </c>
      <c r="AA14" s="397"/>
      <c r="AB14" s="397"/>
      <c r="AC14" s="397"/>
      <c r="AD14" s="397"/>
      <c r="AE14" s="397"/>
      <c r="AF14" s="397"/>
      <c r="AG14" s="397"/>
      <c r="AH14" s="397"/>
      <c r="AI14" s="397"/>
      <c r="AJ14" s="397"/>
      <c r="AK14" s="397"/>
      <c r="AL14" s="397"/>
      <c r="AM14" s="397"/>
      <c r="AN14" s="397"/>
      <c r="AO14" s="397"/>
      <c r="AP14" s="397"/>
      <c r="AQ14" s="397"/>
      <c r="AR14" s="397"/>
      <c r="AS14" s="397"/>
      <c r="AT14" s="397"/>
      <c r="AU14" s="397"/>
      <c r="AV14" s="397"/>
      <c r="AW14" s="397"/>
      <c r="AX14" s="397"/>
    </row>
    <row r="15" spans="1:50" ht="33" customHeight="1" x14ac:dyDescent="0.2">
      <c r="B15" s="433"/>
      <c r="C15" s="433"/>
      <c r="D15" s="433"/>
      <c r="E15" s="393"/>
      <c r="G15" s="74"/>
      <c r="H15" s="548"/>
      <c r="I15" s="529"/>
      <c r="J15" s="435">
        <f t="shared" si="1"/>
        <v>7</v>
      </c>
      <c r="K15" s="50" t="str">
        <f ca="1">IF($AG$11&gt;6,IF($AG$11&gt;6,OFFSET(Database!$C$4,MATCH($AF$11,Database!$F$5:$F$465,0)+6,5,,)),"")</f>
        <v/>
      </c>
      <c r="L15" s="5" t="s">
        <v>138</v>
      </c>
      <c r="M15" s="92" t="str">
        <f ca="1">IF(K15&gt;"",INDEX(Database!$P$5:$P$465,MATCH(Z15,Database!$I$5:$I$465,0)),"")</f>
        <v/>
      </c>
      <c r="N15" s="19" t="str">
        <f t="shared" ca="1" si="0"/>
        <v/>
      </c>
      <c r="O15" s="167" t="str">
        <f ca="1">IF(K15&gt;"",INDEX(Database!$S$5:$S$464,MATCH(Z15,Database!$I$5:$I$465,0)),"")</f>
        <v/>
      </c>
      <c r="P15" s="291">
        <f ca="1">IF(K15&gt;"",INDEX(Database!$L$5:$L$464,MATCH(Z15,Database!$I$5:$I$465,0)),)</f>
        <v>0</v>
      </c>
      <c r="Q15" s="168" t="str">
        <f ca="1">IF(K15&gt;"",INDEX(Database!$V$5:$V$464,MATCH(Z15,Database!$I$5:$I$465,0)),"")</f>
        <v/>
      </c>
      <c r="S15" s="286" t="str">
        <f ca="1">IF(K15&gt;"",INDEX(Database!$T$5:$T$464,MATCH(Z15,Database!$I$5:$I$464,0)),"")</f>
        <v/>
      </c>
      <c r="T15" s="486" t="str">
        <f ca="1">IF(K15&gt;"",INDEX(Database!$U$5:$U$464,MATCH(Z15,Database!$I$5:$I$464,0)),"")</f>
        <v/>
      </c>
      <c r="U15" s="410" t="str">
        <f ca="1">IF(K15&gt;"",INDEX(Database!$W$5:$W$464,MATCH(Z15,Database!$I$5:$I$464,0)),"")</f>
        <v/>
      </c>
      <c r="V15" s="172" t="str">
        <f ca="1">IF(K15&gt;"",INDEX(Database!$N$5:$N$464,MATCH(Z15,Database!$I$5:$I$464,0)),"")</f>
        <v/>
      </c>
      <c r="W15" s="109" t="str">
        <f ca="1">IF(K15&gt;"",INDEX(Database!$J$5:$J$464,MATCH(Z15,Database!$I$5:$I$464,0)),"")</f>
        <v/>
      </c>
      <c r="X15" s="106" t="str">
        <f ca="1">IF(K15&gt;"",INDEX(Database!$Y$5:$Y$2451,MATCH(Z15,Database!$I$5:$I$464,0)),"")</f>
        <v/>
      </c>
      <c r="Y15" s="165" t="str" cm="1">
        <f t="array" aca="1" ref="Y15" ca="1">IF(X15&gt;"",HYPERLINK("#"&amp;CELL("address",INDEX('MKI-waarden'!$A$4:$A$219, MATCH('Invoer en resultaat'!X15, 'MKI-waarden'!$A$4:$A$219,0))),"Zie opsplitsing MKI"),"")</f>
        <v/>
      </c>
      <c r="Z15" s="162" t="str" cm="1">
        <f t="array" aca="1" ref="Z15" ca="1">IF(K15&gt;"",INDEX(Database!$I$5:$I$464, MATCH(1,(Database!$E$5:$E$464='Invoer en resultaat'!$E$9)*(Database!$H$5:$H$464='Invoer en resultaat'!K15),0)),"")</f>
        <v/>
      </c>
      <c r="AA15" s="397"/>
      <c r="AB15" s="397"/>
      <c r="AC15" s="397"/>
      <c r="AD15" s="397"/>
      <c r="AE15" s="397"/>
      <c r="AF15" s="397"/>
      <c r="AG15" s="397"/>
      <c r="AH15" s="397"/>
      <c r="AI15" s="397"/>
      <c r="AJ15" s="397"/>
      <c r="AK15" s="397"/>
      <c r="AL15" s="397"/>
      <c r="AM15" s="397"/>
      <c r="AN15" s="397"/>
      <c r="AO15" s="397"/>
      <c r="AP15" s="397"/>
      <c r="AQ15" s="397"/>
      <c r="AR15" s="397"/>
      <c r="AS15" s="397"/>
      <c r="AT15" s="397"/>
      <c r="AU15" s="397"/>
      <c r="AV15" s="397"/>
      <c r="AW15" s="397"/>
      <c r="AX15" s="397"/>
    </row>
    <row r="16" spans="1:50" ht="26.65" customHeight="1" x14ac:dyDescent="0.2">
      <c r="B16" s="433"/>
      <c r="C16" s="433"/>
      <c r="D16" s="433"/>
      <c r="E16" s="393"/>
      <c r="F16" s="74"/>
      <c r="G16" s="74"/>
      <c r="H16" s="549" t="s">
        <v>233</v>
      </c>
      <c r="I16" s="537"/>
      <c r="J16" s="435">
        <f t="shared" si="1"/>
        <v>8</v>
      </c>
      <c r="K16" s="50" t="str">
        <f ca="1">IF($AG$11&gt;7,IF($AG$11&gt;7,OFFSET(Database!$C$4,MATCH($AF$11,Database!$F$5:$F$465,0)+7,5,,)),"")</f>
        <v/>
      </c>
      <c r="L16" s="5" t="s">
        <v>138</v>
      </c>
      <c r="M16" s="92" t="str">
        <f ca="1">IF(K16&gt;"",INDEX(Database!$P$5:$P$465,MATCH(Z16,Database!$I$5:$I$465,0)),"")</f>
        <v/>
      </c>
      <c r="N16" s="19" t="str">
        <f t="shared" ca="1" si="0"/>
        <v/>
      </c>
      <c r="O16" s="167" t="str">
        <f ca="1">IF(K16&gt;"",INDEX(Database!$S$5:$S$464,MATCH(Z16,Database!$I$5:$I$465,0)),"")</f>
        <v/>
      </c>
      <c r="P16" s="291">
        <f ca="1">IF(K16&gt;"",INDEX(Database!$L$5:$L$464,MATCH(Z16,Database!$I$5:$I$465,0)),)</f>
        <v>0</v>
      </c>
      <c r="Q16" s="168" t="str">
        <f ca="1">IF(K16&gt;"",INDEX(Database!$V$5:$V$464,MATCH(Z16,Database!$I$5:$I$465,0)),"")</f>
        <v/>
      </c>
      <c r="S16" s="286" t="str">
        <f ca="1">IF(K16&gt;"",INDEX(Database!$T$5:$T$464,MATCH(Z16,Database!$I$5:$I$464,0)),"")</f>
        <v/>
      </c>
      <c r="T16" s="486" t="str">
        <f ca="1">IF(K16&gt;"",INDEX(Database!$U$5:$U$464,MATCH(Z16,Database!$I$5:$I$464,0)),"")</f>
        <v/>
      </c>
      <c r="U16" s="410" t="str">
        <f ca="1">IF(K16&gt;"",INDEX(Database!$W$5:$W$464,MATCH(Z16,Database!$I$5:$I$464,0)),"")</f>
        <v/>
      </c>
      <c r="V16" s="172" t="str">
        <f ca="1">IF(K16&gt;"",INDEX(Database!$N$5:$N$464,MATCH(Z16,Database!$I$5:$I$464,0)),"")</f>
        <v/>
      </c>
      <c r="W16" s="109" t="str">
        <f ca="1">IF(K16&gt;"",INDEX(Database!$J$5:$J$464,MATCH(Z16,Database!$I$5:$I$464,0)),"")</f>
        <v/>
      </c>
      <c r="X16" s="106" t="str">
        <f ca="1">IF(K16&gt;"",INDEX(Database!$Y$5:$Y$2451,MATCH(Z16,Database!$I$5:$I$464,0)),"")</f>
        <v/>
      </c>
      <c r="Y16" s="165" t="str" cm="1">
        <f t="array" aca="1" ref="Y16" ca="1">IF(X16&gt;"",HYPERLINK("#"&amp;CELL("address",INDEX('MKI-waarden'!$A$4:$A$219, MATCH('Invoer en resultaat'!X16, 'MKI-waarden'!$A$4:$A$219,0))),"Zie opsplitsing MKI"),"")</f>
        <v/>
      </c>
      <c r="Z16" s="162" t="str" cm="1">
        <f t="array" aca="1" ref="Z16" ca="1">IF(K16&gt;"",INDEX(Database!$I$5:$I$464, MATCH(1,(Database!$E$5:$E$464='Invoer en resultaat'!$E$9)*(Database!$H$5:$H$464='Invoer en resultaat'!K16),0)),"")</f>
        <v/>
      </c>
      <c r="AA16" s="397"/>
      <c r="AB16" s="397"/>
      <c r="AC16" s="397"/>
      <c r="AD16" s="397"/>
      <c r="AE16" s="397"/>
      <c r="AF16" s="397"/>
      <c r="AG16" s="397"/>
      <c r="AH16" s="397"/>
      <c r="AI16" s="397"/>
      <c r="AJ16" s="397"/>
      <c r="AK16" s="397"/>
      <c r="AL16" s="397"/>
      <c r="AM16" s="397"/>
      <c r="AN16" s="397"/>
      <c r="AO16" s="397"/>
      <c r="AP16" s="397"/>
      <c r="AQ16" s="397"/>
      <c r="AR16" s="397"/>
      <c r="AS16" s="397"/>
      <c r="AT16" s="397"/>
      <c r="AU16" s="397"/>
      <c r="AV16" s="397"/>
      <c r="AW16" s="397"/>
      <c r="AX16" s="397"/>
    </row>
    <row r="17" spans="2:50" ht="30.6" customHeight="1" x14ac:dyDescent="0.2">
      <c r="B17" s="433"/>
      <c r="C17" s="433"/>
      <c r="D17" s="433"/>
      <c r="E17" s="393"/>
      <c r="F17" s="74"/>
      <c r="G17" s="74"/>
      <c r="H17" s="550"/>
      <c r="I17" s="538"/>
      <c r="J17" s="435">
        <f t="shared" si="1"/>
        <v>9</v>
      </c>
      <c r="K17" s="50" t="str">
        <f ca="1">IF($AG$11&gt;8,IF($AG$11&gt;8,OFFSET(Database!$C$4,MATCH($AF$11,Database!$F$5:$F$465,0)+8,5,,)),"")</f>
        <v/>
      </c>
      <c r="L17" s="5" t="s">
        <v>138</v>
      </c>
      <c r="M17" s="92" t="str">
        <f ca="1">IF(K17&gt;"",INDEX(Database!$P$5:$P$465,MATCH(Z17,Database!$I$5:$I$465,0)),"")</f>
        <v/>
      </c>
      <c r="N17" s="19" t="str">
        <f t="shared" ca="1" si="0"/>
        <v/>
      </c>
      <c r="O17" s="167" t="str">
        <f ca="1">IF(K17&gt;"",INDEX(Database!$S$5:$S$464,MATCH(Z17,Database!$I$5:$I$465,0)),"")</f>
        <v/>
      </c>
      <c r="P17" s="291">
        <f ca="1">IF(K17&gt;"",INDEX(Database!$L$5:$L$464,MATCH(Z17,Database!$I$5:$I$465,0)),)</f>
        <v>0</v>
      </c>
      <c r="Q17" s="168" t="str">
        <f ca="1">IF(K17&gt;"",INDEX(Database!$V$5:$V$464,MATCH(Z17,Database!$I$5:$I$465,0)),"")</f>
        <v/>
      </c>
      <c r="S17" s="286" t="str">
        <f ca="1">IF(K17&gt;"",INDEX(Database!$T$5:$T$464,MATCH(Z17,Database!$I$5:$I$464,0)),"")</f>
        <v/>
      </c>
      <c r="T17" s="486" t="str">
        <f ca="1">IF(K17&gt;"",INDEX(Database!$U$5:$U$464,MATCH(Z17,Database!$I$5:$I$464,0)),"")</f>
        <v/>
      </c>
      <c r="U17" s="410" t="str">
        <f ca="1">IF(K17&gt;"",INDEX(Database!$W$5:$W$464,MATCH(Z17,Database!$I$5:$I$464,0)),"")</f>
        <v/>
      </c>
      <c r="V17" s="172" t="str">
        <f ca="1">IF(K17&gt;"",INDEX(Database!$N$5:$N$464,MATCH(Z17,Database!$I$5:$I$464,0)),"")</f>
        <v/>
      </c>
      <c r="W17" s="109" t="str">
        <f ca="1">IF(K17&gt;"",INDEX(Database!$J$5:$J$464,MATCH(Z17,Database!$I$5:$I$464,0)),"")</f>
        <v/>
      </c>
      <c r="X17" s="106" t="str">
        <f ca="1">IF(K17&gt;"",INDEX(Database!$Y$5:$Y$2451,MATCH(Z17,Database!$I$5:$I$464,0)),"")</f>
        <v/>
      </c>
      <c r="Y17" s="165" t="str" cm="1">
        <f t="array" aca="1" ref="Y17" ca="1">IF(X17&gt;"",HYPERLINK("#"&amp;CELL("address",INDEX('MKI-waarden'!$A$4:$A$219, MATCH('Invoer en resultaat'!X17, 'MKI-waarden'!$A$4:$A$219,0))),"Zie opsplitsing MKI"),"")</f>
        <v/>
      </c>
      <c r="Z17" s="162" t="str" cm="1">
        <f t="array" aca="1" ref="Z17" ca="1">IF(K17&gt;"",INDEX(Database!$I$5:$I$464, MATCH(1,(Database!$E$5:$E$464='Invoer en resultaat'!$E$9)*(Database!$H$5:$H$464='Invoer en resultaat'!K17),0)),"")</f>
        <v/>
      </c>
      <c r="AA17" s="397"/>
      <c r="AB17" s="397"/>
      <c r="AC17" s="397"/>
      <c r="AD17" s="397"/>
      <c r="AE17" s="397"/>
      <c r="AF17" s="397"/>
      <c r="AG17" s="397"/>
      <c r="AH17" s="397"/>
      <c r="AI17" s="397"/>
      <c r="AJ17" s="397"/>
      <c r="AK17" s="397"/>
      <c r="AL17" s="397"/>
      <c r="AM17" s="397"/>
      <c r="AN17" s="397"/>
      <c r="AO17" s="397"/>
      <c r="AP17" s="397"/>
      <c r="AQ17" s="397"/>
      <c r="AR17" s="397"/>
      <c r="AS17" s="397"/>
      <c r="AT17" s="397"/>
      <c r="AU17" s="397"/>
      <c r="AV17" s="397"/>
      <c r="AW17" s="397"/>
      <c r="AX17" s="397"/>
    </row>
    <row r="18" spans="2:50" ht="36" customHeight="1" x14ac:dyDescent="0.2">
      <c r="B18" s="433"/>
      <c r="C18" s="433"/>
      <c r="D18" s="433"/>
      <c r="E18" s="393"/>
      <c r="F18" s="74"/>
      <c r="G18" s="74"/>
      <c r="H18" s="393"/>
      <c r="I18" s="393"/>
      <c r="J18" s="435">
        <f t="shared" si="1"/>
        <v>10</v>
      </c>
      <c r="K18" s="50" t="str">
        <f ca="1">IF($AG$11&gt;9,IF($AG$11&gt;9,OFFSET(Database!$C$4,MATCH($AF$11,Database!$F$5:$F$465,0)+9,5,,)),"")</f>
        <v/>
      </c>
      <c r="L18" s="5" t="s">
        <v>138</v>
      </c>
      <c r="M18" s="92" t="str">
        <f ca="1">IF(K18&gt;"",INDEX(Database!$P$5:$P$465,MATCH(Z18,Database!$I$5:$I$465,0)),"")</f>
        <v/>
      </c>
      <c r="N18" s="19" t="str">
        <f t="shared" ca="1" si="0"/>
        <v/>
      </c>
      <c r="O18" s="167" t="str">
        <f ca="1">IF(K18&gt;"",INDEX(Database!$S$5:$S$464,MATCH(Z18,Database!$I$5:$I$465,0)),"")</f>
        <v/>
      </c>
      <c r="P18" s="291">
        <f ca="1">IF(K18&gt;"",INDEX(Database!$L$5:$L$464,MATCH(Z18,Database!$I$5:$I$465,0)),)</f>
        <v>0</v>
      </c>
      <c r="Q18" s="168" t="str">
        <f ca="1">IF(K18&gt;"",INDEX(Database!$V$5:$V$464,MATCH(Z18,Database!$I$5:$I$465,0)),"")</f>
        <v/>
      </c>
      <c r="S18" s="286" t="str">
        <f ca="1">IF(K18&gt;"",INDEX(Database!$T$5:$T$464,MATCH(Z18,Database!$I$5:$I$464,0)),"")</f>
        <v/>
      </c>
      <c r="T18" s="486" t="str">
        <f ca="1">IF(K18&gt;"",INDEX(Database!$U$5:$U$464,MATCH(Z18,Database!$I$5:$I$464,0)),"")</f>
        <v/>
      </c>
      <c r="U18" s="410" t="str">
        <f ca="1">IF(K18&gt;"",INDEX(Database!$W$5:$W$464,MATCH(Z18,Database!$I$5:$I$464,0)),"")</f>
        <v/>
      </c>
      <c r="V18" s="172" t="str">
        <f ca="1">IF(K18&gt;"",INDEX(Database!$N$5:$N$464,MATCH(Z18,Database!$I$5:$I$464,0)),"")</f>
        <v/>
      </c>
      <c r="W18" s="109" t="str">
        <f ca="1">IF(K18&gt;"",INDEX(Database!$J$5:$J$464,MATCH(Z18,Database!$I$5:$I$464,0)),"")</f>
        <v/>
      </c>
      <c r="X18" s="106" t="str">
        <f ca="1">IF(K18&gt;"",INDEX(Database!$Y$5:$Y$2451,MATCH(Z18,Database!$I$5:$I$463,0)),"")</f>
        <v/>
      </c>
      <c r="Y18" s="165" t="str" cm="1">
        <f t="array" aca="1" ref="Y18" ca="1">IF(X18&gt;"",HYPERLINK("#"&amp;CELL("address",INDEX('MKI-waarden'!$A$4:$A$219, MATCH('Invoer en resultaat'!X18, 'MKI-waarden'!$A$4:$A$219,0))),"Zie opsplitsing MKI"),"")</f>
        <v/>
      </c>
      <c r="Z18" s="162" t="str" cm="1">
        <f t="array" aca="1" ref="Z18" ca="1">IF(K18&gt;"",INDEX(Database!$I$5:$I$464, MATCH(1,(Database!$E$5:$E$464='Invoer en resultaat'!$E$9)*(Database!$H$5:$H$464='Invoer en resultaat'!K18),0)),"")</f>
        <v/>
      </c>
      <c r="AA18" s="397"/>
      <c r="AB18" s="397"/>
      <c r="AC18" s="397"/>
      <c r="AD18" s="397"/>
      <c r="AE18" s="397"/>
      <c r="AF18" s="397"/>
      <c r="AG18" s="397"/>
      <c r="AH18" s="397"/>
      <c r="AI18" s="397"/>
      <c r="AJ18" s="397"/>
      <c r="AK18" s="397"/>
      <c r="AL18" s="397"/>
      <c r="AM18" s="397"/>
      <c r="AN18" s="397"/>
      <c r="AO18" s="397"/>
      <c r="AP18" s="397"/>
      <c r="AQ18" s="397"/>
      <c r="AR18" s="397"/>
      <c r="AS18" s="397"/>
      <c r="AT18" s="397"/>
      <c r="AU18" s="397"/>
      <c r="AV18" s="397"/>
      <c r="AW18" s="397"/>
      <c r="AX18" s="397"/>
    </row>
    <row r="19" spans="2:50" ht="31.35" customHeight="1" x14ac:dyDescent="0.2">
      <c r="B19" s="433"/>
      <c r="C19" s="433"/>
      <c r="D19" s="433"/>
      <c r="E19" s="433"/>
      <c r="F19" s="74"/>
      <c r="G19" s="74"/>
      <c r="H19" s="376" t="str">
        <f>P7</f>
        <v>Relatieve score MKI</v>
      </c>
      <c r="I19" s="93"/>
      <c r="J19" s="435">
        <f t="shared" si="1"/>
        <v>11</v>
      </c>
      <c r="K19" s="50" t="str">
        <f ca="1">IF($AG$11&gt;10,IF($AG$11&gt;10,OFFSET(Database!$C$4,MATCH($AF$11,Database!$F$5:$F$465,0)+10,5,,)),"")</f>
        <v/>
      </c>
      <c r="L19" s="5" t="s">
        <v>138</v>
      </c>
      <c r="M19" s="92" t="str">
        <f ca="1">IF(K19&gt;"",INDEX(Database!$P$5:$P$465,MATCH(Z19,Database!$I$5:$I$465,0)),"")</f>
        <v/>
      </c>
      <c r="N19" s="19" t="str">
        <f t="shared" ca="1" si="0"/>
        <v/>
      </c>
      <c r="O19" s="167" t="str">
        <f ca="1">IF(K19&gt;"",INDEX(Database!$S$5:$S$464,MATCH(Z19,Database!$I$5:$I$465,0)),"")</f>
        <v/>
      </c>
      <c r="P19" s="291">
        <f ca="1">IF(K19&gt;"",INDEX(Database!$L$5:$L$464,MATCH(Z19,Database!$I$5:$I$465,0)),)</f>
        <v>0</v>
      </c>
      <c r="Q19" s="168" t="str">
        <f ca="1">IF(K19&gt;"",INDEX(Database!$V$5:$V$464,MATCH(Z19,Database!$I$5:$I$465,0)),"")</f>
        <v/>
      </c>
      <c r="S19" s="286" t="str">
        <f ca="1">IF(K19&gt;"",INDEX(Database!$T$5:$T$464,MATCH(Z19,Database!$I$5:$I$464,0)),"")</f>
        <v/>
      </c>
      <c r="T19" s="486" t="str">
        <f ca="1">IF(K19&gt;"",INDEX(Database!$U$5:$U$464,MATCH(Z19,Database!$I$5:$I$464,0)),"")</f>
        <v/>
      </c>
      <c r="U19" s="410" t="str">
        <f ca="1">IF(K19&gt;"",INDEX(Database!$W$5:$W$464,MATCH(Z19,Database!$I$5:$I$464,0)),"")</f>
        <v/>
      </c>
      <c r="V19" s="172" t="str">
        <f ca="1">IF(K19&gt;"",INDEX(Database!$N$5:$N$464,MATCH(Z19,Database!$I$5:$I$464,0)),"")</f>
        <v/>
      </c>
      <c r="W19" s="109" t="str">
        <f ca="1">IF(K19&gt;"",INDEX(Database!$J$5:$J$464,MATCH(Z19,Database!$I$5:$I$464,0)),"")</f>
        <v/>
      </c>
      <c r="X19" s="106" t="str">
        <f ca="1">IF(K19&gt;"",INDEX(Database!$Y$5:$Y$2451,MATCH(Z19,Database!$I$5:$I$463,0)),"")</f>
        <v/>
      </c>
      <c r="Y19" s="165" t="str" cm="1">
        <f t="array" aca="1" ref="Y19" ca="1">IF(X19&gt;"",HYPERLINK("#"&amp;CELL("address",INDEX('MKI-waarden'!$A$4:$A$219, MATCH('Invoer en resultaat'!X19, 'MKI-waarden'!$A$4:$A$219,0))),"Zie opsplitsing MKI"),"")</f>
        <v/>
      </c>
      <c r="Z19" s="162" t="str" cm="1">
        <f t="array" aca="1" ref="Z19" ca="1">IF(K19&gt;"",INDEX(Database!$I$5:$I$464, MATCH(1,(Database!$E$5:$E$464='Invoer en resultaat'!$E$9)*(Database!$H$5:$H$464='Invoer en resultaat'!K19),0)),"")</f>
        <v/>
      </c>
      <c r="AA19" s="397"/>
      <c r="AB19" s="397"/>
      <c r="AC19" s="397"/>
      <c r="AD19" s="397"/>
      <c r="AE19" s="397"/>
      <c r="AF19" s="397"/>
      <c r="AG19" s="397"/>
      <c r="AH19" s="397"/>
      <c r="AI19" s="397"/>
      <c r="AJ19" s="397"/>
      <c r="AK19" s="397"/>
      <c r="AL19" s="397"/>
      <c r="AM19" s="397"/>
      <c r="AN19" s="397"/>
      <c r="AO19" s="397"/>
      <c r="AP19" s="397"/>
      <c r="AQ19" s="397"/>
      <c r="AR19" s="397"/>
      <c r="AS19" s="397"/>
      <c r="AT19" s="397"/>
      <c r="AU19" s="397"/>
      <c r="AV19" s="397"/>
      <c r="AW19" s="397"/>
      <c r="AX19" s="397"/>
    </row>
    <row r="20" spans="2:50" ht="31.35" customHeight="1" x14ac:dyDescent="0.2">
      <c r="B20" s="433"/>
      <c r="C20" s="433"/>
      <c r="D20" s="433"/>
      <c r="E20" s="433"/>
      <c r="F20" s="74"/>
      <c r="G20" s="74"/>
      <c r="H20" s="131" t="s">
        <v>417</v>
      </c>
      <c r="I20" s="86"/>
      <c r="J20" s="435">
        <f t="shared" si="1"/>
        <v>12</v>
      </c>
      <c r="K20" s="50" t="str">
        <f ca="1">IF($AG$11&gt;11,IF($AG$11&gt;11,OFFSET(Database!$C$4,MATCH($AF$11,Database!$F$5:$F$465,0)+11,5,,)),"")</f>
        <v/>
      </c>
      <c r="L20" s="5" t="s">
        <v>138</v>
      </c>
      <c r="M20" s="92" t="str">
        <f ca="1">IF(K20&gt;"",INDEX(Database!$P$5:$P$465,MATCH(Z20,Database!$I$5:$I$465,0)),"")</f>
        <v/>
      </c>
      <c r="N20" s="19" t="str">
        <f t="shared" ca="1" si="0"/>
        <v/>
      </c>
      <c r="O20" s="167" t="str">
        <f ca="1">IF(K20&gt;"",INDEX(Database!$S$5:$S$464,MATCH(Z20,Database!$I$5:$I$465,0)),"")</f>
        <v/>
      </c>
      <c r="P20" s="291">
        <f ca="1">IF(K20&gt;"",INDEX(Database!$L$5:$L$464,MATCH(Z20,Database!$I$5:$I$465,0)),)</f>
        <v>0</v>
      </c>
      <c r="Q20" s="168" t="str">
        <f ca="1">IF(K20&gt;"",INDEX(Database!$V$5:$V$464,MATCH(Z20,Database!$I$5:$I$465,0)),"")</f>
        <v/>
      </c>
      <c r="S20" s="286" t="str">
        <f ca="1">IF(K20&gt;"",INDEX(Database!$T$5:$T$464,MATCH(Z20,Database!$I$5:$I$464,0)),"")</f>
        <v/>
      </c>
      <c r="T20" s="486" t="str">
        <f ca="1">IF(K20&gt;"",INDEX(Database!$U$5:$U$464,MATCH(Z20,Database!$I$5:$I$464,0)),"")</f>
        <v/>
      </c>
      <c r="U20" s="410" t="str">
        <f ca="1">IF(K20&gt;"",INDEX(Database!$W$5:$W$464,MATCH(Z20,Database!$I$5:$I$464,0)),"")</f>
        <v/>
      </c>
      <c r="V20" s="172" t="str">
        <f ca="1">IF(K20&gt;"",INDEX(Database!$N$5:$N$464,MATCH(Z20,Database!$I$5:$I$464,0)),"")</f>
        <v/>
      </c>
      <c r="W20" s="109" t="str">
        <f ca="1">IF(K20&gt;"",INDEX(Database!$J$5:$J$464,MATCH(Z20,Database!$I$5:$I$464,0)),"")</f>
        <v/>
      </c>
      <c r="X20" s="106" t="str">
        <f ca="1">IF(K20&gt;"",INDEX(Database!$Y$5:$Y$2451,MATCH(Z20,Database!$I$5:$I$463,0)),"")</f>
        <v/>
      </c>
      <c r="Y20" s="165" t="str" cm="1">
        <f t="array" aca="1" ref="Y20" ca="1">IF(X20&gt;"",HYPERLINK("#"&amp;CELL("address",INDEX('MKI-waarden'!$A$4:$A$219, MATCH('Invoer en resultaat'!X20, 'MKI-waarden'!$A$4:$A$219,0))),"Zie opsplitsing MKI"),"")</f>
        <v/>
      </c>
      <c r="Z20" s="162" t="str" cm="1">
        <f t="array" aca="1" ref="Z20" ca="1">IF(K20&gt;"",INDEX(Database!$I$5:$I$464, MATCH(1,(Database!$E$5:$E$464='Invoer en resultaat'!$E$9)*(Database!$H$5:$H$464='Invoer en resultaat'!K20),0)),"")</f>
        <v/>
      </c>
      <c r="AA20" s="397"/>
      <c r="AB20" s="397"/>
      <c r="AC20" s="397"/>
      <c r="AD20" s="397"/>
      <c r="AE20" s="397"/>
      <c r="AF20" s="397"/>
      <c r="AG20" s="397"/>
      <c r="AH20" s="397"/>
      <c r="AI20" s="397"/>
      <c r="AJ20" s="397"/>
      <c r="AK20" s="397"/>
      <c r="AL20" s="397"/>
      <c r="AM20" s="397"/>
      <c r="AN20" s="397"/>
      <c r="AO20" s="397"/>
      <c r="AP20" s="397"/>
      <c r="AQ20" s="397"/>
      <c r="AR20" s="397"/>
      <c r="AS20" s="397"/>
      <c r="AT20" s="397"/>
      <c r="AU20" s="397"/>
      <c r="AV20" s="397"/>
      <c r="AW20" s="397"/>
      <c r="AX20" s="397"/>
    </row>
    <row r="21" spans="2:50" ht="31.35" customHeight="1" x14ac:dyDescent="0.2">
      <c r="B21" s="433"/>
      <c r="C21" s="433"/>
      <c r="D21" s="433"/>
      <c r="E21" s="433"/>
      <c r="F21" s="74"/>
      <c r="G21" s="74"/>
      <c r="H21" s="131" t="s">
        <v>418</v>
      </c>
      <c r="I21" s="130"/>
      <c r="J21" s="435">
        <f t="shared" si="1"/>
        <v>13</v>
      </c>
      <c r="K21" s="50" t="str">
        <f ca="1">IF($AG$11&gt;12,IF($AG$11&gt;12,OFFSET(Database!$C$4,MATCH($AF$11,Database!$F$5:$F$465,0)+12,5,,)),"")</f>
        <v/>
      </c>
      <c r="L21" s="5" t="s">
        <v>138</v>
      </c>
      <c r="M21" s="92" t="str">
        <f ca="1">IF(K21&gt;"",INDEX(Database!$P$5:$P$465,MATCH(Z21,Database!$I$5:$I$465,0)),"")</f>
        <v/>
      </c>
      <c r="N21" s="19" t="str">
        <f t="shared" ca="1" si="0"/>
        <v/>
      </c>
      <c r="O21" s="167" t="str">
        <f ca="1">IF(K21&gt;"",INDEX(Database!$S$5:$S$464,MATCH(Z21,Database!$I$5:$I$465,0)),"")</f>
        <v/>
      </c>
      <c r="P21" s="291">
        <f ca="1">IF(K21&gt;"",INDEX(Database!$L$5:$L$464,MATCH(Z21,Database!$I$5:$I$465,0)),)</f>
        <v>0</v>
      </c>
      <c r="Q21" s="168" t="str">
        <f ca="1">IF(K21&gt;"",INDEX(Database!$V$5:$V$464,MATCH(Z21,Database!$I$5:$I$465,0)),"")</f>
        <v/>
      </c>
      <c r="S21" s="286" t="str">
        <f ca="1">IF(K21&gt;"",INDEX(Database!$T$5:$T$464,MATCH(Z21,Database!$I$5:$I$464,0)),"")</f>
        <v/>
      </c>
      <c r="T21" s="486" t="str">
        <f ca="1">IF(K21&gt;"",INDEX(Database!$U$5:$U$464,MATCH(Z21,Database!$I$5:$I$464,0)),"")</f>
        <v/>
      </c>
      <c r="U21" s="410" t="str">
        <f ca="1">IF(K21&gt;"",INDEX(Database!$W$5:$W$464,MATCH(Z21,Database!$I$5:$I$464,0)),"")</f>
        <v/>
      </c>
      <c r="V21" s="172" t="str">
        <f ca="1">IF(K21&gt;"",INDEX(Database!$N$5:$N$464,MATCH(Z21,Database!$I$5:$I$464,0)),"")</f>
        <v/>
      </c>
      <c r="W21" s="109" t="str">
        <f ca="1">IF(K21&gt;"",INDEX(Database!$J$5:$J$464,MATCH(Z21,Database!$I$5:$I$464,0)),"")</f>
        <v/>
      </c>
      <c r="X21" s="106" t="str">
        <f ca="1">IF(K21&gt;"",INDEX(Database!$Y$5:$Y$2451,MATCH(Z21,Database!$I$5:$I$463,0)),"")</f>
        <v/>
      </c>
      <c r="Y21" s="165" t="str" cm="1">
        <f t="array" aca="1" ref="Y21" ca="1">IF(X21&gt;"",HYPERLINK("#"&amp;CELL("address",INDEX('MKI-waarden'!$A$4:$A$219, MATCH('Invoer en resultaat'!X21, 'MKI-waarden'!$A$4:$A$219,0))),"Zie opsplitsing MKI"),"")</f>
        <v/>
      </c>
      <c r="Z21" s="162" t="str" cm="1">
        <f t="array" aca="1" ref="Z21" ca="1">IF(K21&gt;"",INDEX(Database!$I$5:$I$464, MATCH(1,(Database!$E$5:$E$464='Invoer en resultaat'!$E$9)*(Database!$H$5:$H$464='Invoer en resultaat'!K21),0)),"")</f>
        <v/>
      </c>
      <c r="AA21" s="397"/>
      <c r="AB21" s="397"/>
      <c r="AC21" s="397"/>
      <c r="AD21" s="397"/>
      <c r="AE21" s="397"/>
      <c r="AF21" s="397"/>
      <c r="AG21" s="397"/>
      <c r="AH21" s="397"/>
      <c r="AI21" s="397"/>
      <c r="AJ21" s="397"/>
      <c r="AK21" s="397"/>
      <c r="AL21" s="397"/>
      <c r="AM21" s="397"/>
      <c r="AN21" s="397"/>
      <c r="AO21" s="397"/>
      <c r="AP21" s="397"/>
      <c r="AQ21" s="397"/>
      <c r="AR21" s="397"/>
      <c r="AS21" s="397"/>
      <c r="AT21" s="397"/>
      <c r="AU21" s="397"/>
      <c r="AV21" s="397"/>
      <c r="AW21" s="397"/>
      <c r="AX21" s="397"/>
    </row>
    <row r="22" spans="2:50" ht="31.35" customHeight="1" x14ac:dyDescent="0.2">
      <c r="B22" s="433"/>
      <c r="C22" s="433"/>
      <c r="D22" s="433"/>
      <c r="E22" s="433"/>
      <c r="F22" s="74"/>
      <c r="G22" s="74"/>
      <c r="H22" s="90" t="s">
        <v>419</v>
      </c>
      <c r="I22" s="87"/>
      <c r="J22" s="435">
        <f t="shared" si="1"/>
        <v>14</v>
      </c>
      <c r="K22" s="10" t="str">
        <f ca="1">IF($AG$11&gt;13,IF($AG$11&gt;13,OFFSET(Database!$C$4,MATCH($AF$11,Database!$F$5:$F$465,0)+13,5,,)),"")</f>
        <v/>
      </c>
      <c r="L22" s="5" t="s">
        <v>138</v>
      </c>
      <c r="M22" s="92" t="str">
        <f ca="1">IF(K22&gt;"",INDEX(Database!$P$5:$P$465,MATCH(Z22,Database!$I$5:$I$465,0)),"")</f>
        <v/>
      </c>
      <c r="N22" s="19" t="str">
        <f t="shared" ca="1" si="0"/>
        <v/>
      </c>
      <c r="O22" s="167" t="str">
        <f ca="1">IF(K22&gt;"",INDEX(Database!$S$5:$S$464,MATCH(Z22,Database!$I$5:$I$465,0)),"")</f>
        <v/>
      </c>
      <c r="P22" s="291">
        <f ca="1">IF(K22&gt;"",INDEX(Database!$L$5:$L$464,MATCH(Z22,Database!$I$5:$I$465,0)),)</f>
        <v>0</v>
      </c>
      <c r="Q22" s="168" t="str">
        <f ca="1">IF(K22&gt;"",INDEX(Database!$V$5:$V$464,MATCH(Z22,Database!$I$5:$I$465,0)),"")</f>
        <v/>
      </c>
      <c r="S22" s="286" t="str">
        <f ca="1">IF(K22&gt;"",INDEX(Database!$T$5:$T$464,MATCH(Z22,Database!$I$5:$I$464,0)),"")</f>
        <v/>
      </c>
      <c r="T22" s="486" t="str">
        <f ca="1">IF(K22&gt;"",INDEX(Database!$U$5:$U$464,MATCH(Z22,Database!$I$5:$I$464,0)),"")</f>
        <v/>
      </c>
      <c r="U22" s="410" t="str">
        <f ca="1">IF(K22&gt;"",INDEX(Database!$W$5:$W$464,MATCH(Z22,Database!$I$5:$I$464,0)),"")</f>
        <v/>
      </c>
      <c r="V22" s="172" t="str">
        <f ca="1">IF(K22&gt;"",INDEX(Database!$N$5:$N$464,MATCH(Z22,Database!$I$5:$I$464,0)),"")</f>
        <v/>
      </c>
      <c r="W22" s="109" t="str">
        <f ca="1">IF(K22&gt;"",INDEX(Database!$J$5:$J$464,MATCH(Z22,Database!$I$5:$I$464,0)),"")</f>
        <v/>
      </c>
      <c r="X22" s="106" t="str">
        <f ca="1">IF(K22&gt;"",INDEX(Database!$Y$5:$Y$2451,MATCH(Z22,Database!$I$5:$I$463,0)),"")</f>
        <v/>
      </c>
      <c r="Y22" s="165" t="str" cm="1">
        <f t="array" aca="1" ref="Y22" ca="1">IF(X22&gt;"",HYPERLINK("#"&amp;CELL("address",INDEX('MKI-waarden'!$A$4:$A$219, MATCH('Invoer en resultaat'!X22, 'MKI-waarden'!$A$4:$A$219,0))),"Zie opsplitsing MKI"),"")</f>
        <v/>
      </c>
      <c r="Z22" s="162" t="str" cm="1">
        <f t="array" aca="1" ref="Z22" ca="1">IF(K22&gt;"",INDEX(Database!$I$5:$I$464, MATCH(1,(Database!$E$5:$E$464='Invoer en resultaat'!$E$9)*(Database!$H$5:$H$464='Invoer en resultaat'!K22),0)),"")</f>
        <v/>
      </c>
      <c r="AA22" s="397"/>
      <c r="AB22" s="397"/>
      <c r="AC22" s="397"/>
      <c r="AD22" s="397"/>
      <c r="AE22" s="397"/>
      <c r="AF22" s="397"/>
      <c r="AG22" s="397"/>
      <c r="AH22" s="397"/>
      <c r="AI22" s="397"/>
      <c r="AJ22" s="397"/>
      <c r="AK22" s="397"/>
      <c r="AL22" s="397"/>
      <c r="AM22" s="397"/>
      <c r="AN22" s="397"/>
      <c r="AO22" s="397"/>
      <c r="AP22" s="397"/>
      <c r="AQ22" s="397"/>
      <c r="AR22" s="397"/>
      <c r="AS22" s="397"/>
      <c r="AT22" s="397"/>
      <c r="AU22" s="397"/>
      <c r="AV22" s="397"/>
      <c r="AW22" s="397"/>
      <c r="AX22" s="397"/>
    </row>
    <row r="23" spans="2:50" ht="31.35" customHeight="1" x14ac:dyDescent="0.2">
      <c r="B23" s="433"/>
      <c r="C23" s="433"/>
      <c r="D23" s="433"/>
      <c r="E23" s="433"/>
      <c r="F23" s="74"/>
      <c r="G23" s="74"/>
      <c r="H23" s="282" t="s">
        <v>420</v>
      </c>
      <c r="I23" s="88"/>
      <c r="J23" s="435">
        <f t="shared" si="1"/>
        <v>15</v>
      </c>
      <c r="K23" s="10" t="str">
        <f ca="1">IF($AG$11&gt;14,IF($AG$11&gt;14,OFFSET(Database!$C$4,MATCH($AF$11,Database!$F$5:$F$465,0)+14,5,,)),"")</f>
        <v/>
      </c>
      <c r="L23" s="5" t="s">
        <v>138</v>
      </c>
      <c r="M23" s="92" t="str">
        <f ca="1">IF(K23&gt;"",INDEX(Database!$P$5:$P$465,MATCH(Z23,Database!$I$5:$I$465,0)),"")</f>
        <v/>
      </c>
      <c r="N23" s="19" t="str">
        <f t="shared" ca="1" si="0"/>
        <v/>
      </c>
      <c r="O23" s="167" t="str">
        <f ca="1">IF(K23&gt;"",INDEX(Database!$S$5:$S$464,MATCH(Z23,Database!$I$5:$I$465,0)),"")</f>
        <v/>
      </c>
      <c r="P23" s="291">
        <f ca="1">IF(K23&gt;"",INDEX(Database!$L$5:$L$464,MATCH(Z23,Database!$I$5:$I$465,0)),)</f>
        <v>0</v>
      </c>
      <c r="Q23" s="168" t="str">
        <f ca="1">IF(K23&gt;"",INDEX(Database!$V$5:$V$464,MATCH(Z23,Database!$I$5:$I$465,0)),"")</f>
        <v/>
      </c>
      <c r="S23" s="286" t="str">
        <f ca="1">IF(K23&gt;"",INDEX(Database!$T$5:$T$464,MATCH(Z23,Database!$I$5:$I$464,0)),"")</f>
        <v/>
      </c>
      <c r="T23" s="486" t="str">
        <f ca="1">IF(K23&gt;"",INDEX(Database!$U$5:$U$464,MATCH(Z23,Database!$I$5:$I$464,0)),"")</f>
        <v/>
      </c>
      <c r="U23" s="410" t="str">
        <f ca="1">IF(K23&gt;"",INDEX(Database!$W$5:$W$464,MATCH(Z23,Database!$I$5:$I$464,0)),"")</f>
        <v/>
      </c>
      <c r="V23" s="172" t="str">
        <f ca="1">IF(K23&gt;"",INDEX(Database!$N$5:$N$464,MATCH(Z23,Database!$I$5:$I$464,0)),"")</f>
        <v/>
      </c>
      <c r="W23" s="109" t="str">
        <f ca="1">IF(K23&gt;"",INDEX(Database!$J$5:$J$464,MATCH(Z23,Database!$I$5:$I$464,0)),"")</f>
        <v/>
      </c>
      <c r="X23" s="106" t="str">
        <f ca="1">IF(K23&gt;"",INDEX(Database!$Y$5:$Y$2451,MATCH(Z23,Database!$I$5:$I$463,0)),"")</f>
        <v/>
      </c>
      <c r="Y23" s="165" t="str" cm="1">
        <f t="array" aca="1" ref="Y23" ca="1">IF(X23&gt;"",HYPERLINK("#"&amp;CELL("address",INDEX('MKI-waarden'!$A$4:$A$219, MATCH('Invoer en resultaat'!X23, 'MKI-waarden'!$A$4:$A$219,0))),"Zie opsplitsing MKI"),"")</f>
        <v/>
      </c>
      <c r="Z23" s="162" t="str" cm="1">
        <f t="array" aca="1" ref="Z23" ca="1">IF(K23&gt;"",INDEX(Database!$I$5:$I$464, MATCH(1,(Database!$E$5:$E$464='Invoer en resultaat'!$E$9)*(Database!$H$5:$H$464='Invoer en resultaat'!K23),0)),"")</f>
        <v/>
      </c>
      <c r="AA23" s="397"/>
      <c r="AB23" s="397"/>
      <c r="AC23" s="397"/>
      <c r="AD23" s="397"/>
      <c r="AE23" s="397"/>
      <c r="AF23" s="397"/>
      <c r="AG23" s="397"/>
      <c r="AH23" s="397"/>
      <c r="AI23" s="397"/>
      <c r="AJ23" s="397"/>
      <c r="AK23" s="397"/>
      <c r="AL23" s="397"/>
      <c r="AM23" s="397"/>
      <c r="AN23" s="397"/>
      <c r="AO23" s="397"/>
      <c r="AP23" s="397"/>
      <c r="AQ23" s="397"/>
      <c r="AR23" s="397"/>
      <c r="AS23" s="397"/>
      <c r="AT23" s="397"/>
      <c r="AU23" s="397"/>
      <c r="AV23" s="397"/>
      <c r="AW23" s="397"/>
      <c r="AX23" s="397"/>
    </row>
    <row r="24" spans="2:50" ht="28.5" customHeight="1" x14ac:dyDescent="0.2">
      <c r="B24" s="433"/>
      <c r="C24" s="433"/>
      <c r="D24" s="433"/>
      <c r="E24" s="433"/>
      <c r="F24" s="74"/>
      <c r="G24" s="74"/>
      <c r="H24" s="283" t="s">
        <v>421</v>
      </c>
      <c r="I24" s="284"/>
      <c r="J24" s="435">
        <f t="shared" si="1"/>
        <v>16</v>
      </c>
      <c r="K24" s="10" t="str">
        <f ca="1">IF($AG$11&gt;15,IF($AG$11&gt;15,OFFSET(Database!$C$4,MATCH($AF$11,Database!$F$5:$F$465,0)+15,5,,)),"")</f>
        <v/>
      </c>
      <c r="L24" s="5" t="s">
        <v>138</v>
      </c>
      <c r="M24" s="92" t="str">
        <f ca="1">IF(K24&gt;"",INDEX(Database!$P$5:$P$465,MATCH(Z24,Database!$I$5:$I$465,0)),"")</f>
        <v/>
      </c>
      <c r="N24" s="19" t="str">
        <f t="shared" ca="1" si="0"/>
        <v/>
      </c>
      <c r="O24" s="167" t="str">
        <f ca="1">IF(K24&gt;"",INDEX(Database!$S$5:$S$464,MATCH(Z24,Database!$I$5:$I$465,0)),"")</f>
        <v/>
      </c>
      <c r="P24" s="291">
        <f ca="1">IF(K24&gt;"",INDEX(Database!$L$5:$L$464,MATCH(Z24,Database!$I$5:$I$465,0)),)</f>
        <v>0</v>
      </c>
      <c r="Q24" s="168" t="str">
        <f ca="1">IF(K24&gt;"",INDEX(Database!$V$5:$V$464,MATCH(Z24,Database!$I$5:$I$465,0)),"")</f>
        <v/>
      </c>
      <c r="S24" s="103" t="str">
        <f ca="1">IF(K24&gt;"",INDEX(Database!$T$5:$T$464,MATCH(Z24,Database!$I$5:$I$464,0)),"")</f>
        <v/>
      </c>
      <c r="T24" s="486" t="str">
        <f ca="1">IF(K24&gt;"",INDEX(Database!$U$5:$U$464,MATCH(Z24,Database!$I$5:$I$464,0)),"")</f>
        <v/>
      </c>
      <c r="U24" s="410" t="str">
        <f ca="1">IF(K24&gt;"",INDEX(Database!$W$5:$W$464,MATCH(Z24,Database!$I$5:$I$464,0)),"")</f>
        <v/>
      </c>
      <c r="V24" s="172" t="str">
        <f ca="1">IF(K24&gt;"",INDEX(Database!$N$5:$N$464,MATCH(Z24,Database!$I$5:$I$464,0)),"")</f>
        <v/>
      </c>
      <c r="W24" s="109" t="str">
        <f ca="1">IF(K24&gt;"",INDEX(Database!$J$5:$J$464,MATCH(Z24,Database!$I$5:$I$464,0)),"")</f>
        <v/>
      </c>
      <c r="X24" s="106" t="str">
        <f ca="1">IF(K24&gt;"",INDEX(Database!$Y$5:$Y$2451,MATCH(Z24,Database!$I$5:$I$463,0)),"")</f>
        <v/>
      </c>
      <c r="Y24" s="165" t="str" cm="1">
        <f t="array" aca="1" ref="Y24" ca="1">IF(X24&gt;"",HYPERLINK("#"&amp;CELL("address",INDEX('MKI-waarden'!$A$4:$A$219, MATCH('Invoer en resultaat'!X24, 'MKI-waarden'!$A$4:$A$219,0))),"Zie opsplitsing MKI"),"")</f>
        <v/>
      </c>
      <c r="Z24" s="162" t="str" cm="1">
        <f t="array" aca="1" ref="Z24" ca="1">IF(K24&gt;"",INDEX(Database!$I$5:$I$464, MATCH(1,(Database!$E$5:$E$464='Invoer en resultaat'!$E$9)*(Database!$H$5:$H$464='Invoer en resultaat'!K24),0)),"")</f>
        <v/>
      </c>
      <c r="AA24" s="397"/>
      <c r="AB24" s="397"/>
      <c r="AC24" s="397"/>
      <c r="AD24" s="397"/>
      <c r="AE24" s="397"/>
      <c r="AF24" s="397"/>
      <c r="AG24" s="397"/>
      <c r="AH24" s="397"/>
      <c r="AI24" s="397"/>
      <c r="AJ24" s="397"/>
      <c r="AK24" s="397"/>
      <c r="AL24" s="397"/>
      <c r="AM24" s="397"/>
      <c r="AN24" s="397"/>
      <c r="AO24" s="397"/>
      <c r="AP24" s="397"/>
      <c r="AQ24" s="397"/>
      <c r="AR24" s="397"/>
      <c r="AS24" s="397"/>
      <c r="AT24" s="397"/>
      <c r="AU24" s="397"/>
      <c r="AV24" s="397"/>
      <c r="AW24" s="397"/>
      <c r="AX24" s="397"/>
    </row>
    <row r="25" spans="2:50" ht="28.5" customHeight="1" x14ac:dyDescent="0.2">
      <c r="B25" s="433"/>
      <c r="C25" s="433"/>
      <c r="D25" s="433"/>
      <c r="E25" s="433"/>
      <c r="F25" s="74"/>
      <c r="G25" s="74"/>
      <c r="H25" s="91" t="s">
        <v>422</v>
      </c>
      <c r="I25" s="89"/>
      <c r="J25" s="435">
        <f t="shared" si="1"/>
        <v>17</v>
      </c>
      <c r="K25" s="10" t="str">
        <f ca="1">IF($AG$11&gt;16,IF($AG$11&gt;16,OFFSET(Database!$C$4,MATCH($AF$11,Database!$F$5:$F$465,0)+16,5,,)),"")</f>
        <v/>
      </c>
      <c r="L25" s="5" t="s">
        <v>138</v>
      </c>
      <c r="M25" s="92" t="str">
        <f ca="1">IF(K25&gt;"",INDEX(Database!$P$5:$P$465,MATCH(Z25,Database!$I$5:$I$465,0)),"")</f>
        <v/>
      </c>
      <c r="N25" s="19" t="str">
        <f t="shared" ca="1" si="0"/>
        <v/>
      </c>
      <c r="O25" s="167" t="str">
        <f ca="1">IF(K25&gt;"",INDEX(Database!$S$5:$S$464,MATCH(Z25,Database!$I$5:$I$465,0)),"")</f>
        <v/>
      </c>
      <c r="P25" s="291">
        <f ca="1">IF(K25&gt;"",INDEX(Database!$L$5:$L$464,MATCH(Z25,Database!$I$5:$I$465,0)),)</f>
        <v>0</v>
      </c>
      <c r="Q25" s="168" t="str">
        <f ca="1">IF(K25&gt;"",INDEX(Database!$V$5:$V$464,MATCH(Z25,Database!$I$5:$I$465,0)),"")</f>
        <v/>
      </c>
      <c r="S25" s="103" t="str">
        <f ca="1">IF(K25&gt;"",INDEX(Database!$T$5:$T$464,MATCH(Z25,Database!$I$5:$I$464,0)),"")</f>
        <v/>
      </c>
      <c r="T25" s="410" t="str">
        <f ca="1">IF(K25&gt;"",INDEX(Database!$U$5:$U$464,MATCH(Z25,Database!$I$5:$I$464,0)),"")</f>
        <v/>
      </c>
      <c r="U25" s="410" t="str">
        <f ca="1">IF(K25&gt;"",INDEX(Database!$W$5:$W$464,MATCH(Z25,Database!$I$5:$I$464,0)),"")</f>
        <v/>
      </c>
      <c r="V25" s="172" t="str">
        <f ca="1">IF(K25&gt;"",INDEX(Database!$N$5:$N$464,MATCH(Z25,Database!$I$5:$I$464,0)),"")</f>
        <v/>
      </c>
      <c r="W25" s="109" t="str">
        <f ca="1">IF(K25&gt;"",INDEX(Database!$J$5:$J$464,MATCH(Z25,Database!$I$5:$I$464,0)),"")</f>
        <v/>
      </c>
      <c r="X25" s="106" t="str">
        <f ca="1">IF(K25&gt;"",INDEX(Database!$Y$5:$Y$2451,MATCH(Z25,Database!$I$5:$I$463,0)),"")</f>
        <v/>
      </c>
      <c r="Y25" s="165" t="str" cm="1">
        <f t="array" aca="1" ref="Y25" ca="1">IF(X25&gt;"",HYPERLINK("#"&amp;CELL("address",INDEX('MKI-waarden'!$A$4:$A$219, MATCH('Invoer en resultaat'!X25, 'MKI-waarden'!$A$4:$A$219,0))),"Zie opsplitsing MKI"),"")</f>
        <v/>
      </c>
      <c r="Z25" s="162" t="str" cm="1">
        <f t="array" aca="1" ref="Z25" ca="1">IF(K25&gt;"",INDEX(Database!$I$5:$I$464, MATCH(1,(Database!$E$5:$E$464='Invoer en resultaat'!$E$9)*(Database!$H$5:$H$464='Invoer en resultaat'!K25),0)),"")</f>
        <v/>
      </c>
      <c r="AA25" s="397"/>
      <c r="AB25" s="397"/>
      <c r="AC25" s="397"/>
      <c r="AD25" s="397"/>
      <c r="AE25" s="397"/>
      <c r="AF25" s="397"/>
      <c r="AG25" s="397"/>
      <c r="AH25" s="397"/>
      <c r="AI25" s="397"/>
      <c r="AJ25" s="397"/>
      <c r="AK25" s="397"/>
      <c r="AL25" s="397"/>
      <c r="AM25" s="397"/>
      <c r="AN25" s="397"/>
      <c r="AO25" s="397"/>
      <c r="AP25" s="397"/>
      <c r="AQ25" s="397"/>
      <c r="AR25" s="397"/>
      <c r="AS25" s="397"/>
      <c r="AT25" s="397"/>
      <c r="AU25" s="397"/>
      <c r="AV25" s="397"/>
      <c r="AW25" s="397"/>
      <c r="AX25" s="397"/>
    </row>
    <row r="26" spans="2:50" ht="28.35" customHeight="1" x14ac:dyDescent="0.2">
      <c r="B26" s="433"/>
      <c r="C26" s="433"/>
      <c r="D26" s="433"/>
      <c r="E26" s="433"/>
      <c r="F26" s="74"/>
      <c r="G26" s="74"/>
      <c r="H26" s="91" t="s">
        <v>370</v>
      </c>
      <c r="I26" s="132"/>
      <c r="J26" s="435">
        <f t="shared" si="1"/>
        <v>18</v>
      </c>
      <c r="K26" s="10" t="str">
        <f ca="1">IF($AG$11&gt;17,IF($AG$11&gt;17,OFFSET(Database!$C$4,MATCH($AF$11,Database!$F$5:$F$465,0)+17,5,,)),"")</f>
        <v/>
      </c>
      <c r="L26" s="5" t="s">
        <v>138</v>
      </c>
      <c r="M26" s="92" t="str">
        <f ca="1">IF(K26&gt;"",INDEX(Database!$P$5:$P$465,MATCH(Z26,Database!$I$5:$I$465,0)),"")</f>
        <v/>
      </c>
      <c r="N26" s="19" t="str">
        <f t="shared" ca="1" si="0"/>
        <v/>
      </c>
      <c r="O26" s="167" t="str">
        <f ca="1">IF(K26&gt;"",INDEX(Database!$S$5:$S$464,MATCH(Z26,Database!$I$5:$I$465,0)),"")</f>
        <v/>
      </c>
      <c r="P26" s="291">
        <f ca="1">IF(K26&gt;"",INDEX(Database!$L$5:$L$464,MATCH(Z26,Database!$I$5:$I$465,0)),)</f>
        <v>0</v>
      </c>
      <c r="Q26" s="168" t="str">
        <f ca="1">IF(K26&gt;"",INDEX(Database!$V$5:$V$464,MATCH(Z26,Database!$I$5:$I$465,0)),"")</f>
        <v/>
      </c>
      <c r="S26" s="103" t="str">
        <f ca="1">IF(K26&gt;"",INDEX(Database!$T$5:$T$464,MATCH(Z26,Database!$I$5:$I$464,0)),"")</f>
        <v/>
      </c>
      <c r="T26" s="410" t="str">
        <f ca="1">IF(K26&gt;"",INDEX(Database!$U$5:$U$464,MATCH(Z26,Database!$I$5:$I$464,0)),"")</f>
        <v/>
      </c>
      <c r="U26" s="410" t="str">
        <f ca="1">IF(K26&gt;"",INDEX(Database!$W$5:$W$464,MATCH(Z26,Database!$I$5:$I$464,0)),"")</f>
        <v/>
      </c>
      <c r="V26" s="172" t="str">
        <f ca="1">IF(K26&gt;"",INDEX(Database!$N$5:$N$464,MATCH(Z26,Database!$I$5:$I$464,0)),"")</f>
        <v/>
      </c>
      <c r="W26" s="109" t="str">
        <f ca="1">IF(K26&gt;"",INDEX(Database!$J$5:$J$464,MATCH(Z26,Database!$I$5:$I$464,0)),"")</f>
        <v/>
      </c>
      <c r="X26" s="106" t="str">
        <f ca="1">IF(K26&gt;"",INDEX(Database!$Y$5:$Y$2451,MATCH(Z26,Database!$I$5:$I$463,0)),"")</f>
        <v/>
      </c>
      <c r="Y26" s="165" t="str" cm="1">
        <f t="array" aca="1" ref="Y26" ca="1">IF(X26&gt;"",HYPERLINK("#"&amp;CELL("address",INDEX('MKI-waarden'!$A$4:$A$219, MATCH('Invoer en resultaat'!X26, 'MKI-waarden'!$A$4:$A$219,0))),"Zie opsplitsing MKI"),"")</f>
        <v/>
      </c>
      <c r="Z26" s="162" t="str" cm="1">
        <f t="array" aca="1" ref="Z26" ca="1">IF(K26&gt;"",INDEX(Database!$I$5:$I$464, MATCH(1,(Database!$E$5:$E$464='Invoer en resultaat'!$E$9)*(Database!$H$5:$H$464='Invoer en resultaat'!K26),0)),"")</f>
        <v/>
      </c>
      <c r="AA26" s="397"/>
      <c r="AB26" s="397"/>
      <c r="AC26" s="397"/>
      <c r="AD26" s="397"/>
      <c r="AE26" s="397"/>
      <c r="AF26" s="397"/>
      <c r="AG26" s="397"/>
      <c r="AH26" s="397"/>
      <c r="AI26" s="397"/>
      <c r="AJ26" s="397"/>
      <c r="AK26" s="397"/>
      <c r="AL26" s="397"/>
      <c r="AM26" s="397"/>
      <c r="AN26" s="397"/>
      <c r="AO26" s="397"/>
      <c r="AP26" s="397"/>
      <c r="AQ26" s="397"/>
      <c r="AR26" s="397"/>
      <c r="AS26" s="397"/>
      <c r="AT26" s="397"/>
      <c r="AU26" s="397"/>
      <c r="AV26" s="397"/>
      <c r="AW26" s="397"/>
      <c r="AX26" s="397"/>
    </row>
    <row r="27" spans="2:50" ht="28.35" customHeight="1" x14ac:dyDescent="0.2">
      <c r="B27" s="433"/>
      <c r="C27" s="433"/>
      <c r="D27" s="433"/>
      <c r="E27" s="433"/>
      <c r="F27" s="391"/>
      <c r="G27" s="391"/>
      <c r="H27" s="433"/>
      <c r="I27" s="433"/>
      <c r="J27" s="435">
        <f t="shared" si="1"/>
        <v>19</v>
      </c>
      <c r="K27" s="10" t="str">
        <f ca="1">IF($AG$11&gt;18,IF($AG$11&gt;18,OFFSET(Database!$C$4,MATCH($AF$11,Database!$F$5:$F$465,0)+18,5,,)),"")</f>
        <v/>
      </c>
      <c r="L27" s="5" t="s">
        <v>138</v>
      </c>
      <c r="M27" s="92" t="str">
        <f ca="1">IF(K27&gt;"",INDEX(Database!$P$5:$P$465,MATCH(Z27,Database!$I$5:$I$465,0)),"")</f>
        <v/>
      </c>
      <c r="N27" s="19" t="str">
        <f t="shared" ca="1" si="0"/>
        <v/>
      </c>
      <c r="O27" s="167" t="str">
        <f ca="1">IF(K27&gt;"",INDEX(Database!$S$5:$S$464,MATCH(Z27,Database!$I$5:$I$465,0)),"")</f>
        <v/>
      </c>
      <c r="P27" s="291">
        <f ca="1">IF(K27&gt;"",INDEX(Database!$L$5:$L$464,MATCH(Z27,Database!$I$5:$I$465,0)),)</f>
        <v>0</v>
      </c>
      <c r="Q27" s="168" t="str">
        <f ca="1">IF(K27&gt;"",INDEX(Database!$V$5:$V$464,MATCH(Z27,Database!$I$5:$I$465,0)),"")</f>
        <v/>
      </c>
      <c r="S27" s="103" t="str">
        <f ca="1">IF(K27&gt;"",INDEX(Database!$T$5:$T$464,MATCH(Z27,Database!$I$5:$I$464,0)),"")</f>
        <v/>
      </c>
      <c r="T27" s="410" t="str">
        <f ca="1">IF(K27&gt;"",INDEX(Database!$U$5:$U$464,MATCH(Z27,Database!$I$5:$I$464,0)),"")</f>
        <v/>
      </c>
      <c r="U27" s="410" t="str">
        <f ca="1">IF(K27&gt;"",INDEX(Database!$W$5:$W$464,MATCH(Z27,Database!$I$5:$I$464,0)),"")</f>
        <v/>
      </c>
      <c r="V27" s="172" t="str">
        <f ca="1">IF(K27&gt;"",INDEX(Database!$N$5:$N$464,MATCH(Z27,Database!$I$5:$I$464,0)),"")</f>
        <v/>
      </c>
      <c r="W27" s="109" t="str">
        <f ca="1">IF(K27&gt;"",INDEX(Database!$J$5:$J$464,MATCH(Z27,Database!$I$5:$I$464,0)),"")</f>
        <v/>
      </c>
      <c r="X27" s="106" t="str">
        <f ca="1">IF(K27&gt;"",INDEX(Database!$Y$5:$Y$2451,MATCH(Z27,Database!$I$5:$I$463,0)),"")</f>
        <v/>
      </c>
      <c r="Y27" s="165" t="str" cm="1">
        <f t="array" aca="1" ref="Y27" ca="1">IF(X27&gt;"",HYPERLINK("#"&amp;CELL("address",INDEX('MKI-waarden'!$A$4:$A$219, MATCH('Invoer en resultaat'!X27, 'MKI-waarden'!$A$4:$A$219,0))),"Zie opsplitsing MKI"),"")</f>
        <v/>
      </c>
      <c r="Z27" s="162" t="str" cm="1">
        <f t="array" aca="1" ref="Z27" ca="1">IF(K27&gt;"",INDEX(Database!$I$5:$I$464, MATCH(1,(Database!$E$5:$E$464='Invoer en resultaat'!$E$9)*(Database!$H$5:$H$464='Invoer en resultaat'!K27),0)),"")</f>
        <v/>
      </c>
      <c r="AA27" s="397"/>
      <c r="AB27" s="397"/>
      <c r="AC27" s="397"/>
      <c r="AD27" s="397"/>
      <c r="AE27" s="397"/>
      <c r="AF27" s="397"/>
      <c r="AG27" s="397"/>
      <c r="AH27" s="397"/>
      <c r="AI27" s="397"/>
      <c r="AJ27" s="397"/>
      <c r="AK27" s="397"/>
      <c r="AL27" s="397"/>
      <c r="AM27" s="397"/>
      <c r="AN27" s="397"/>
      <c r="AO27" s="397"/>
      <c r="AP27" s="397"/>
      <c r="AQ27" s="397"/>
      <c r="AR27" s="397"/>
      <c r="AS27" s="397"/>
      <c r="AT27" s="397"/>
      <c r="AU27" s="397"/>
      <c r="AV27" s="397"/>
      <c r="AW27" s="397"/>
      <c r="AX27" s="397"/>
    </row>
    <row r="28" spans="2:50" ht="28.35" customHeight="1" thickBot="1" x14ac:dyDescent="0.25">
      <c r="B28" s="434"/>
      <c r="C28" s="434"/>
      <c r="D28" s="434"/>
      <c r="E28" s="434"/>
      <c r="F28" s="392"/>
      <c r="G28" s="392"/>
      <c r="H28" s="434"/>
      <c r="I28" s="434"/>
      <c r="J28" s="435">
        <f t="shared" si="1"/>
        <v>20</v>
      </c>
      <c r="K28" s="11" t="str">
        <f ca="1">IF($AG$11&gt;19,IF($AG$11&gt;19,OFFSET(Database!$C$4,MATCH($AF$11,Database!$F$5:$F$465,0)+19,5,,)),"")</f>
        <v/>
      </c>
      <c r="L28" s="6" t="s">
        <v>138</v>
      </c>
      <c r="M28" s="92" t="str">
        <f ca="1">IF(K28&gt;"",INDEX(Database!$P$5:$P$465,MATCH(Z28,Database!$I$5:$I$465,0)),"")</f>
        <v/>
      </c>
      <c r="N28" s="20" t="str">
        <f t="shared" ca="1" si="0"/>
        <v/>
      </c>
      <c r="O28" s="170" t="str">
        <f ca="1">IF(K28&gt;"",INDEX(Database!$S$5:$S$464,MATCH(Z28,Database!$I$5:$I$465,0)),"")</f>
        <v/>
      </c>
      <c r="P28" s="301">
        <f ca="1">IF(K28&gt;"",INDEX(Database!$L$5:$L$464,MATCH(Z28,Database!$I$5:$I$465,0)),)</f>
        <v>0</v>
      </c>
      <c r="Q28" s="159" t="str">
        <f ca="1">IF(K28&gt;"",INDEX(Database!$V$5:$V$464,MATCH(Z28,Database!$I$5:$I$465,0)),"")</f>
        <v/>
      </c>
      <c r="S28" s="104" t="str">
        <f ca="1">IF(K28&gt;"",INDEX(Database!$T$5:$T$464,MATCH(Z28,Database!$I$5:$I$464,0)),"")</f>
        <v/>
      </c>
      <c r="T28" s="411" t="str">
        <f ca="1">IF(K28&gt;"",INDEX(Database!$U$5:$U$464,MATCH(Z28,Database!$I$5:$I$464,0)),"")</f>
        <v/>
      </c>
      <c r="U28" s="411" t="str">
        <f ca="1">IF(K28&gt;"",INDEX(Database!$W$5:$W$464,MATCH(Z28,Database!$I$5:$I$464,0)),"")</f>
        <v/>
      </c>
      <c r="V28" s="173" t="str">
        <f ca="1">IF(K28&gt;"",INDEX(Database!$N$5:$N$464,MATCH(Z28,Database!$I$5:$I$464,0)),"")</f>
        <v/>
      </c>
      <c r="W28" s="110" t="str">
        <f ca="1">IF(K28&gt;"",INDEX(Database!$J$5:$J$464,MATCH(Z28,Database!$I$5:$I$464,0)),"")</f>
        <v/>
      </c>
      <c r="X28" s="107" t="str">
        <f ca="1">IF(K28&gt;"",INDEX(Database!$Y$5:$Y$2451,MATCH(Z28,Database!$I$5:$I$463,0)),"")</f>
        <v/>
      </c>
      <c r="Y28" s="166" t="str" cm="1">
        <f t="array" aca="1" ref="Y28" ca="1">IF(X28&gt;"",HYPERLINK("#"&amp;CELL("address",INDEX('MKI-waarden'!$A$4:$A$110, MATCH('Invoer en resultaat'!X28, 'MKI-waarden'!$A$4:$A$110,0))),"Zie opsplitsing MKI"),"")</f>
        <v/>
      </c>
      <c r="Z28" s="163" t="str" cm="1">
        <f t="array" aca="1" ref="Z28" ca="1">IF(K28&gt;"",INDEX(Database!$I$5:$I$464, MATCH(1,(Database!$E$5:$E$464='Invoer en resultaat'!$E$9)*(Database!$H$5:$H$464='Invoer en resultaat'!K28),0)),"")</f>
        <v/>
      </c>
      <c r="AA28" s="397"/>
      <c r="AB28" s="397"/>
      <c r="AC28" s="397"/>
      <c r="AD28" s="397"/>
      <c r="AE28" s="397"/>
      <c r="AF28" s="397"/>
      <c r="AG28" s="397"/>
      <c r="AH28" s="397"/>
      <c r="AI28" s="397"/>
      <c r="AJ28" s="397"/>
      <c r="AK28" s="397"/>
      <c r="AL28" s="397"/>
      <c r="AM28" s="397"/>
      <c r="AN28" s="397"/>
      <c r="AO28" s="397"/>
      <c r="AP28" s="397"/>
      <c r="AQ28" s="397"/>
      <c r="AR28" s="397"/>
      <c r="AS28" s="397"/>
      <c r="AT28" s="397"/>
      <c r="AU28" s="397"/>
      <c r="AV28" s="397"/>
      <c r="AW28" s="397"/>
      <c r="AX28" s="397"/>
    </row>
    <row r="29" spans="2:50" x14ac:dyDescent="0.2">
      <c r="B29" s="393"/>
      <c r="C29" s="393"/>
      <c r="D29" s="393"/>
      <c r="E29" s="393"/>
      <c r="F29" s="393"/>
      <c r="G29" s="393"/>
      <c r="H29" s="393"/>
      <c r="I29" s="393"/>
      <c r="J29" s="393"/>
      <c r="K29" s="393"/>
      <c r="L29" s="393"/>
      <c r="M29" s="429"/>
      <c r="N29" s="393"/>
      <c r="O29" s="393"/>
      <c r="P29" s="430"/>
      <c r="Q29" s="393"/>
      <c r="S29" s="396"/>
      <c r="T29" s="396"/>
      <c r="U29" s="398"/>
      <c r="V29" s="399"/>
      <c r="W29" s="393"/>
      <c r="X29" s="412"/>
      <c r="Y29" s="393"/>
      <c r="Z29" s="393"/>
      <c r="AA29" s="397"/>
      <c r="AB29" s="397"/>
      <c r="AC29" s="397"/>
      <c r="AD29" s="397"/>
      <c r="AE29" s="397"/>
      <c r="AF29" s="397"/>
      <c r="AG29" s="397"/>
      <c r="AH29" s="397"/>
      <c r="AI29" s="397"/>
      <c r="AJ29" s="397"/>
      <c r="AK29" s="397"/>
      <c r="AL29" s="397"/>
      <c r="AM29" s="397"/>
      <c r="AN29" s="397"/>
      <c r="AO29" s="397"/>
      <c r="AP29" s="397"/>
      <c r="AQ29" s="397"/>
      <c r="AR29" s="397"/>
      <c r="AS29" s="397"/>
      <c r="AT29" s="397"/>
      <c r="AU29" s="397"/>
      <c r="AV29" s="397"/>
      <c r="AW29" s="397"/>
      <c r="AX29" s="397"/>
    </row>
    <row r="30" spans="2:50" x14ac:dyDescent="0.2">
      <c r="B30" s="393"/>
      <c r="C30" s="393"/>
      <c r="D30" s="393"/>
      <c r="E30" s="393"/>
      <c r="F30" s="393"/>
      <c r="G30" s="393"/>
      <c r="H30" s="393"/>
      <c r="I30" s="393"/>
      <c r="J30" s="393"/>
      <c r="K30" s="393"/>
      <c r="L30" s="393"/>
      <c r="M30" s="393"/>
      <c r="N30" s="393"/>
      <c r="O30" s="393"/>
      <c r="P30" s="396"/>
      <c r="Q30" s="393"/>
      <c r="S30" s="396"/>
      <c r="T30" s="396"/>
      <c r="U30" s="398"/>
      <c r="V30" s="399"/>
      <c r="W30" s="393"/>
      <c r="X30" s="393"/>
      <c r="Y30" s="393"/>
      <c r="Z30" s="393"/>
      <c r="AA30" s="397"/>
      <c r="AB30" s="397"/>
      <c r="AC30" s="397"/>
      <c r="AD30" s="397"/>
      <c r="AE30" s="397"/>
      <c r="AF30" s="397"/>
      <c r="AG30" s="397"/>
      <c r="AH30" s="397"/>
      <c r="AI30" s="397"/>
      <c r="AJ30" s="397"/>
      <c r="AK30" s="397"/>
      <c r="AL30" s="397"/>
      <c r="AM30" s="397"/>
      <c r="AN30" s="397"/>
      <c r="AO30" s="397"/>
      <c r="AP30" s="397"/>
      <c r="AQ30" s="397"/>
      <c r="AR30" s="397"/>
      <c r="AS30" s="397"/>
      <c r="AT30" s="397"/>
      <c r="AU30" s="397"/>
      <c r="AV30" s="397"/>
      <c r="AW30" s="397"/>
      <c r="AX30" s="397"/>
    </row>
    <row r="31" spans="2:50" x14ac:dyDescent="0.2">
      <c r="B31" s="393"/>
      <c r="C31" s="393"/>
      <c r="D31" s="393"/>
      <c r="E31" s="393"/>
      <c r="F31" s="393"/>
      <c r="G31" s="393"/>
      <c r="H31" s="393"/>
      <c r="I31" s="393"/>
      <c r="J31" s="393"/>
      <c r="K31" s="393"/>
      <c r="L31" s="393"/>
      <c r="M31" s="393"/>
      <c r="N31" s="393"/>
      <c r="O31" s="393"/>
      <c r="P31" s="396"/>
      <c r="Q31" s="393"/>
      <c r="S31" s="396"/>
      <c r="T31" s="396"/>
      <c r="U31" s="398"/>
      <c r="V31" s="399"/>
      <c r="W31" s="393"/>
      <c r="X31" s="393"/>
      <c r="Y31" s="393"/>
      <c r="Z31" s="393"/>
      <c r="AA31" s="397"/>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row>
    <row r="32" spans="2:50" x14ac:dyDescent="0.2">
      <c r="B32" s="393"/>
      <c r="C32" s="393"/>
      <c r="D32" s="393"/>
      <c r="E32" s="393"/>
      <c r="F32" s="393"/>
      <c r="G32" s="393"/>
      <c r="H32" s="393"/>
      <c r="I32" s="393"/>
      <c r="J32" s="393"/>
      <c r="K32" s="393"/>
      <c r="L32" s="393"/>
      <c r="M32" s="393"/>
      <c r="N32" s="393"/>
      <c r="O32" s="393"/>
      <c r="P32" s="396"/>
      <c r="Q32" s="393"/>
      <c r="S32" s="396"/>
      <c r="T32" s="396"/>
      <c r="U32" s="398"/>
      <c r="V32" s="399"/>
      <c r="W32" s="393"/>
      <c r="X32" s="393"/>
      <c r="Y32" s="393"/>
      <c r="Z32" s="393"/>
      <c r="AA32" s="397"/>
      <c r="AB32" s="397"/>
      <c r="AC32" s="397"/>
      <c r="AD32" s="397"/>
      <c r="AE32" s="397"/>
      <c r="AF32" s="397"/>
      <c r="AG32" s="397"/>
      <c r="AH32" s="397"/>
      <c r="AI32" s="397"/>
      <c r="AJ32" s="397"/>
      <c r="AK32" s="397"/>
      <c r="AL32" s="397"/>
      <c r="AM32" s="397"/>
      <c r="AN32" s="397"/>
      <c r="AO32" s="397"/>
      <c r="AP32" s="397"/>
      <c r="AQ32" s="397"/>
      <c r="AR32" s="397"/>
      <c r="AS32" s="397"/>
      <c r="AT32" s="397"/>
      <c r="AU32" s="397"/>
      <c r="AV32" s="397"/>
      <c r="AW32" s="397"/>
      <c r="AX32" s="397"/>
    </row>
    <row r="33" spans="2:50" x14ac:dyDescent="0.2">
      <c r="B33" s="393"/>
      <c r="C33" s="393"/>
      <c r="D33" s="393"/>
      <c r="E33" s="393"/>
      <c r="F33" s="393"/>
      <c r="G33" s="393"/>
      <c r="H33" s="393"/>
      <c r="I33" s="393"/>
      <c r="J33" s="393"/>
      <c r="K33" s="393"/>
      <c r="L33" s="393"/>
      <c r="M33" s="393"/>
      <c r="N33" s="393"/>
      <c r="O33" s="393"/>
      <c r="P33" s="396"/>
      <c r="Q33" s="393"/>
      <c r="S33" s="396"/>
      <c r="T33" s="396"/>
      <c r="U33" s="398"/>
      <c r="V33" s="399"/>
      <c r="W33" s="393"/>
      <c r="X33" s="393"/>
      <c r="Y33" s="393"/>
      <c r="Z33" s="393"/>
      <c r="AA33" s="397"/>
      <c r="AB33" s="397"/>
      <c r="AC33" s="397"/>
      <c r="AD33" s="397"/>
      <c r="AE33" s="397"/>
      <c r="AF33" s="397"/>
      <c r="AG33" s="397"/>
      <c r="AH33" s="397"/>
      <c r="AI33" s="397"/>
      <c r="AJ33" s="397"/>
      <c r="AK33" s="397"/>
      <c r="AL33" s="397"/>
      <c r="AM33" s="397"/>
      <c r="AN33" s="397"/>
      <c r="AO33" s="397"/>
      <c r="AP33" s="397"/>
      <c r="AQ33" s="397"/>
      <c r="AR33" s="397"/>
      <c r="AS33" s="397"/>
      <c r="AT33" s="397"/>
      <c r="AU33" s="397"/>
      <c r="AV33" s="397"/>
      <c r="AW33" s="397"/>
      <c r="AX33" s="397"/>
    </row>
    <row r="34" spans="2:50" x14ac:dyDescent="0.2">
      <c r="B34" s="393"/>
      <c r="C34" s="393"/>
      <c r="D34" s="393"/>
      <c r="E34" s="393"/>
      <c r="F34" s="393"/>
      <c r="G34" s="393"/>
      <c r="H34" s="393"/>
      <c r="I34" s="393"/>
      <c r="J34" s="393"/>
      <c r="K34" s="393"/>
      <c r="L34" s="393"/>
      <c r="M34" s="393"/>
      <c r="N34" s="393"/>
      <c r="O34" s="393"/>
      <c r="P34" s="396"/>
      <c r="Q34" s="393"/>
      <c r="S34" s="396"/>
      <c r="T34" s="396"/>
      <c r="U34" s="398"/>
      <c r="V34" s="399"/>
      <c r="W34" s="393"/>
      <c r="X34" s="393"/>
      <c r="Y34" s="393"/>
      <c r="Z34" s="393"/>
      <c r="AA34" s="397"/>
      <c r="AB34" s="397"/>
      <c r="AC34" s="397"/>
      <c r="AD34" s="397"/>
      <c r="AE34" s="397"/>
      <c r="AF34" s="397"/>
      <c r="AG34" s="397"/>
      <c r="AH34" s="397"/>
      <c r="AI34" s="397"/>
      <c r="AJ34" s="397"/>
      <c r="AK34" s="397"/>
      <c r="AL34" s="397"/>
      <c r="AM34" s="397"/>
      <c r="AN34" s="397"/>
      <c r="AO34" s="397"/>
      <c r="AP34" s="397"/>
      <c r="AQ34" s="397"/>
      <c r="AR34" s="397"/>
      <c r="AS34" s="397"/>
      <c r="AT34" s="397"/>
      <c r="AU34" s="397"/>
      <c r="AV34" s="397"/>
      <c r="AW34" s="397"/>
      <c r="AX34" s="397"/>
    </row>
    <row r="35" spans="2:50" x14ac:dyDescent="0.2">
      <c r="B35" s="393"/>
      <c r="C35" s="393"/>
      <c r="D35" s="393"/>
      <c r="E35" s="393"/>
      <c r="F35" s="393"/>
      <c r="G35" s="393"/>
      <c r="H35" s="393"/>
      <c r="I35" s="393"/>
      <c r="J35" s="393"/>
      <c r="K35" s="393"/>
      <c r="L35" s="393"/>
      <c r="M35" s="393"/>
      <c r="N35" s="393"/>
      <c r="O35" s="393"/>
      <c r="P35" s="396"/>
      <c r="Q35" s="393"/>
      <c r="S35" s="396"/>
      <c r="T35" s="396"/>
      <c r="U35" s="398"/>
      <c r="V35" s="399"/>
      <c r="W35" s="393"/>
      <c r="X35" s="393"/>
      <c r="Y35" s="393"/>
      <c r="Z35" s="393"/>
      <c r="AA35" s="397"/>
      <c r="AB35" s="397"/>
      <c r="AC35" s="397"/>
      <c r="AD35" s="397"/>
      <c r="AE35" s="397"/>
      <c r="AF35" s="397"/>
      <c r="AG35" s="397"/>
      <c r="AH35" s="397"/>
      <c r="AI35" s="397"/>
      <c r="AJ35" s="397"/>
      <c r="AK35" s="397"/>
      <c r="AL35" s="397"/>
      <c r="AM35" s="397"/>
      <c r="AN35" s="397"/>
      <c r="AO35" s="397"/>
      <c r="AP35" s="397"/>
      <c r="AQ35" s="397"/>
      <c r="AR35" s="397"/>
      <c r="AS35" s="397"/>
      <c r="AT35" s="397"/>
      <c r="AU35" s="397"/>
      <c r="AV35" s="397"/>
      <c r="AW35" s="397"/>
      <c r="AX35" s="397"/>
    </row>
    <row r="36" spans="2:50" x14ac:dyDescent="0.2">
      <c r="B36" s="393"/>
      <c r="C36" s="393"/>
      <c r="D36" s="393"/>
      <c r="E36" s="393"/>
      <c r="F36" s="393"/>
      <c r="G36" s="393"/>
      <c r="H36" s="393"/>
      <c r="I36" s="393"/>
      <c r="J36" s="393"/>
      <c r="K36" s="393"/>
      <c r="L36" s="393"/>
      <c r="M36" s="393"/>
      <c r="N36" s="393"/>
      <c r="O36" s="393"/>
      <c r="P36" s="396"/>
      <c r="Q36" s="393"/>
      <c r="S36" s="396"/>
      <c r="T36" s="396"/>
      <c r="U36" s="398"/>
      <c r="V36" s="399"/>
      <c r="W36" s="393"/>
      <c r="X36" s="393"/>
      <c r="Y36" s="393"/>
      <c r="Z36" s="393"/>
      <c r="AA36" s="397"/>
      <c r="AB36" s="397"/>
      <c r="AC36" s="397"/>
      <c r="AD36" s="397"/>
      <c r="AE36" s="397"/>
      <c r="AF36" s="397"/>
      <c r="AG36" s="397"/>
      <c r="AH36" s="397"/>
      <c r="AI36" s="397"/>
      <c r="AJ36" s="397"/>
      <c r="AK36" s="397"/>
      <c r="AL36" s="397"/>
      <c r="AM36" s="397"/>
      <c r="AN36" s="397"/>
      <c r="AO36" s="397"/>
      <c r="AP36" s="397"/>
      <c r="AQ36" s="397"/>
      <c r="AR36" s="397"/>
      <c r="AS36" s="397"/>
      <c r="AT36" s="397"/>
      <c r="AU36" s="397"/>
      <c r="AV36" s="397"/>
      <c r="AW36" s="397"/>
      <c r="AX36" s="397"/>
    </row>
    <row r="37" spans="2:50" x14ac:dyDescent="0.2">
      <c r="B37" s="393"/>
      <c r="C37" s="393"/>
      <c r="D37" s="393"/>
      <c r="E37" s="393"/>
      <c r="F37" s="393"/>
      <c r="G37" s="393"/>
      <c r="H37" s="393"/>
      <c r="I37" s="393"/>
      <c r="J37" s="393"/>
      <c r="K37" s="393"/>
      <c r="L37" s="393"/>
      <c r="M37" s="393"/>
      <c r="N37" s="393"/>
      <c r="O37" s="393"/>
      <c r="P37" s="396"/>
      <c r="Q37" s="393"/>
      <c r="S37" s="396"/>
      <c r="T37" s="396"/>
      <c r="U37" s="398"/>
      <c r="V37" s="399"/>
      <c r="W37" s="393"/>
      <c r="X37" s="393"/>
      <c r="Y37" s="393"/>
      <c r="Z37" s="393"/>
      <c r="AA37" s="397"/>
      <c r="AB37" s="397"/>
      <c r="AC37" s="397"/>
      <c r="AD37" s="397"/>
      <c r="AE37" s="397"/>
      <c r="AF37" s="397"/>
      <c r="AG37" s="397"/>
      <c r="AH37" s="397"/>
      <c r="AI37" s="397"/>
      <c r="AJ37" s="397"/>
      <c r="AK37" s="397"/>
      <c r="AL37" s="397"/>
      <c r="AM37" s="397"/>
      <c r="AN37" s="397"/>
      <c r="AO37" s="397"/>
      <c r="AP37" s="397"/>
      <c r="AQ37" s="397"/>
      <c r="AR37" s="397"/>
      <c r="AS37" s="397"/>
      <c r="AT37" s="397"/>
      <c r="AU37" s="397"/>
      <c r="AV37" s="397"/>
      <c r="AW37" s="397"/>
      <c r="AX37" s="397"/>
    </row>
    <row r="38" spans="2:50" x14ac:dyDescent="0.2">
      <c r="B38" s="393"/>
      <c r="C38" s="393"/>
      <c r="D38" s="393"/>
      <c r="E38" s="393"/>
      <c r="F38" s="393"/>
      <c r="G38" s="393"/>
      <c r="H38" s="393"/>
      <c r="I38" s="393"/>
      <c r="J38" s="393"/>
      <c r="K38" s="393"/>
      <c r="L38" s="393"/>
      <c r="M38" s="393"/>
      <c r="N38" s="393"/>
      <c r="O38" s="393"/>
      <c r="P38" s="396"/>
      <c r="Q38" s="393"/>
      <c r="S38" s="396"/>
      <c r="T38" s="396"/>
      <c r="U38" s="398"/>
      <c r="V38" s="399"/>
      <c r="W38" s="393"/>
      <c r="X38" s="393"/>
      <c r="Y38" s="393"/>
      <c r="Z38" s="393"/>
      <c r="AA38" s="397"/>
      <c r="AB38" s="397"/>
      <c r="AC38" s="397"/>
      <c r="AD38" s="397"/>
      <c r="AE38" s="397"/>
      <c r="AF38" s="397"/>
      <c r="AG38" s="397"/>
      <c r="AH38" s="397"/>
      <c r="AI38" s="397"/>
      <c r="AJ38" s="397"/>
      <c r="AK38" s="397"/>
      <c r="AL38" s="397"/>
      <c r="AM38" s="397"/>
      <c r="AN38" s="397"/>
      <c r="AO38" s="397"/>
      <c r="AP38" s="397"/>
      <c r="AQ38" s="397"/>
      <c r="AR38" s="397"/>
      <c r="AS38" s="397"/>
      <c r="AT38" s="397"/>
      <c r="AU38" s="397"/>
      <c r="AV38" s="397"/>
      <c r="AW38" s="397"/>
      <c r="AX38" s="397"/>
    </row>
    <row r="39" spans="2:50" x14ac:dyDescent="0.2">
      <c r="B39" s="393"/>
      <c r="C39" s="393"/>
      <c r="D39" s="393"/>
      <c r="E39" s="393"/>
      <c r="F39" s="393"/>
      <c r="G39" s="393"/>
      <c r="H39" s="393"/>
      <c r="I39" s="393"/>
      <c r="J39" s="393"/>
      <c r="K39" s="393"/>
      <c r="L39" s="393"/>
      <c r="M39" s="393"/>
      <c r="N39" s="393"/>
      <c r="O39" s="393"/>
      <c r="P39" s="396"/>
      <c r="Q39" s="393"/>
      <c r="S39" s="396"/>
      <c r="T39" s="396"/>
      <c r="U39" s="398"/>
      <c r="V39" s="399"/>
      <c r="W39" s="393"/>
      <c r="X39" s="393"/>
      <c r="Y39" s="393"/>
      <c r="Z39" s="393"/>
      <c r="AA39" s="397"/>
      <c r="AB39" s="397"/>
      <c r="AC39" s="397"/>
      <c r="AD39" s="397"/>
      <c r="AE39" s="397"/>
      <c r="AF39" s="397"/>
      <c r="AG39" s="397"/>
      <c r="AH39" s="397"/>
      <c r="AI39" s="397"/>
      <c r="AJ39" s="397"/>
      <c r="AK39" s="397"/>
      <c r="AL39" s="397"/>
      <c r="AM39" s="397"/>
      <c r="AN39" s="397"/>
      <c r="AO39" s="397"/>
      <c r="AP39" s="397"/>
      <c r="AQ39" s="397"/>
      <c r="AR39" s="397"/>
      <c r="AS39" s="397"/>
      <c r="AT39" s="397"/>
      <c r="AU39" s="397"/>
      <c r="AV39" s="397"/>
      <c r="AW39" s="397"/>
      <c r="AX39" s="397"/>
    </row>
    <row r="40" spans="2:50" x14ac:dyDescent="0.2">
      <c r="B40" s="393"/>
      <c r="C40" s="393"/>
      <c r="D40" s="393"/>
      <c r="E40" s="393"/>
      <c r="F40" s="393"/>
      <c r="G40" s="393"/>
      <c r="H40" s="393"/>
      <c r="I40" s="393"/>
      <c r="J40" s="393"/>
      <c r="K40" s="393"/>
      <c r="L40" s="393"/>
      <c r="M40" s="393"/>
      <c r="N40" s="393"/>
      <c r="O40" s="393"/>
      <c r="P40" s="396"/>
      <c r="Q40" s="393"/>
      <c r="S40" s="396"/>
      <c r="T40" s="396"/>
      <c r="U40" s="398"/>
      <c r="V40" s="399"/>
      <c r="W40" s="393"/>
      <c r="X40" s="393"/>
      <c r="Y40" s="393"/>
      <c r="Z40" s="393"/>
      <c r="AA40" s="397"/>
      <c r="AB40" s="397"/>
      <c r="AC40" s="397"/>
      <c r="AD40" s="397"/>
      <c r="AE40" s="397"/>
      <c r="AF40" s="397"/>
      <c r="AG40" s="397"/>
      <c r="AH40" s="397"/>
      <c r="AI40" s="397"/>
      <c r="AJ40" s="397"/>
      <c r="AK40" s="397"/>
      <c r="AL40" s="397"/>
      <c r="AM40" s="397"/>
      <c r="AN40" s="397"/>
      <c r="AO40" s="397"/>
      <c r="AP40" s="397"/>
      <c r="AQ40" s="397"/>
      <c r="AR40" s="397"/>
      <c r="AS40" s="397"/>
      <c r="AT40" s="397"/>
      <c r="AU40" s="397"/>
      <c r="AV40" s="397"/>
      <c r="AW40" s="397"/>
      <c r="AX40" s="397"/>
    </row>
    <row r="41" spans="2:50" x14ac:dyDescent="0.2">
      <c r="B41" s="393"/>
      <c r="C41" s="393"/>
      <c r="D41" s="393"/>
      <c r="E41" s="393"/>
      <c r="F41" s="393"/>
      <c r="G41" s="393"/>
      <c r="H41" s="393"/>
      <c r="I41" s="393"/>
      <c r="J41" s="393"/>
      <c r="K41" s="393"/>
      <c r="L41" s="393"/>
      <c r="M41" s="393"/>
      <c r="N41" s="393"/>
      <c r="O41" s="393"/>
      <c r="P41" s="396"/>
      <c r="Q41" s="393"/>
      <c r="S41" s="396"/>
      <c r="T41" s="396"/>
      <c r="U41" s="398"/>
      <c r="V41" s="399"/>
      <c r="W41" s="393"/>
      <c r="X41" s="393"/>
      <c r="Y41" s="393"/>
      <c r="Z41" s="393"/>
      <c r="AA41" s="397"/>
      <c r="AB41" s="397"/>
      <c r="AC41" s="397"/>
      <c r="AD41" s="397"/>
      <c r="AE41" s="397"/>
      <c r="AF41" s="397"/>
      <c r="AG41" s="397"/>
      <c r="AH41" s="397"/>
      <c r="AI41" s="397"/>
      <c r="AJ41" s="397"/>
      <c r="AK41" s="397"/>
      <c r="AL41" s="397"/>
      <c r="AM41" s="397"/>
      <c r="AN41" s="397"/>
      <c r="AO41" s="397"/>
      <c r="AP41" s="397"/>
      <c r="AQ41" s="397"/>
      <c r="AR41" s="397"/>
      <c r="AS41" s="397"/>
      <c r="AT41" s="397"/>
      <c r="AU41" s="397"/>
      <c r="AV41" s="397"/>
      <c r="AW41" s="397"/>
      <c r="AX41" s="397"/>
    </row>
    <row r="42" spans="2:50" x14ac:dyDescent="0.2">
      <c r="B42" s="393"/>
      <c r="C42" s="393"/>
      <c r="D42" s="393"/>
      <c r="E42" s="393"/>
      <c r="F42" s="393"/>
      <c r="G42" s="393"/>
      <c r="H42" s="393"/>
      <c r="I42" s="393"/>
      <c r="J42" s="393"/>
      <c r="K42" s="393"/>
      <c r="L42" s="393"/>
      <c r="M42" s="393"/>
      <c r="N42" s="393"/>
      <c r="O42" s="393"/>
      <c r="P42" s="396"/>
      <c r="Q42" s="393"/>
      <c r="S42" s="396"/>
      <c r="T42" s="396"/>
      <c r="U42" s="398"/>
      <c r="V42" s="399"/>
      <c r="W42" s="393"/>
      <c r="X42" s="393"/>
      <c r="Y42" s="393"/>
      <c r="Z42" s="393"/>
      <c r="AA42" s="397"/>
      <c r="AB42" s="397"/>
      <c r="AC42" s="397"/>
      <c r="AD42" s="397"/>
      <c r="AE42" s="397"/>
      <c r="AF42" s="397"/>
      <c r="AG42" s="397"/>
      <c r="AH42" s="397"/>
      <c r="AI42" s="397"/>
      <c r="AJ42" s="397"/>
      <c r="AK42" s="397"/>
      <c r="AL42" s="397"/>
      <c r="AM42" s="397"/>
      <c r="AN42" s="397"/>
      <c r="AO42" s="397"/>
      <c r="AP42" s="397"/>
      <c r="AQ42" s="397"/>
      <c r="AR42" s="397"/>
      <c r="AS42" s="397"/>
      <c r="AT42" s="397"/>
      <c r="AU42" s="397"/>
      <c r="AV42" s="397"/>
      <c r="AW42" s="397"/>
      <c r="AX42" s="397"/>
    </row>
    <row r="43" spans="2:50" x14ac:dyDescent="0.2">
      <c r="B43" s="393"/>
      <c r="C43" s="393"/>
      <c r="D43" s="393"/>
      <c r="E43" s="393"/>
      <c r="F43" s="393"/>
      <c r="G43" s="393"/>
      <c r="H43" s="393"/>
      <c r="I43" s="393"/>
      <c r="J43" s="393"/>
      <c r="K43" s="393"/>
      <c r="L43" s="393"/>
      <c r="M43" s="393"/>
      <c r="N43" s="393"/>
      <c r="O43" s="393"/>
      <c r="P43" s="396"/>
      <c r="Q43" s="393"/>
      <c r="S43" s="396"/>
      <c r="T43" s="396"/>
      <c r="U43" s="398"/>
      <c r="V43" s="399"/>
      <c r="W43" s="393"/>
      <c r="X43" s="393"/>
      <c r="Y43" s="393"/>
      <c r="Z43" s="393"/>
      <c r="AA43" s="397"/>
      <c r="AB43" s="397"/>
      <c r="AC43" s="397"/>
      <c r="AD43" s="397"/>
      <c r="AE43" s="397"/>
      <c r="AF43" s="397"/>
      <c r="AG43" s="397"/>
      <c r="AH43" s="397"/>
      <c r="AI43" s="397"/>
      <c r="AJ43" s="397"/>
      <c r="AK43" s="397"/>
      <c r="AL43" s="397"/>
      <c r="AM43" s="397"/>
      <c r="AN43" s="397"/>
      <c r="AO43" s="397"/>
      <c r="AP43" s="397"/>
      <c r="AQ43" s="397"/>
      <c r="AR43" s="397"/>
      <c r="AS43" s="397"/>
      <c r="AT43" s="397"/>
      <c r="AU43" s="397"/>
      <c r="AV43" s="397"/>
      <c r="AW43" s="397"/>
      <c r="AX43" s="397"/>
    </row>
    <row r="44" spans="2:50" x14ac:dyDescent="0.2">
      <c r="B44" s="393"/>
      <c r="C44" s="393"/>
      <c r="D44" s="393"/>
      <c r="E44" s="393"/>
      <c r="F44" s="393"/>
      <c r="G44" s="393"/>
      <c r="H44" s="393"/>
      <c r="I44" s="393"/>
      <c r="J44" s="393"/>
      <c r="K44" s="393"/>
      <c r="L44" s="393"/>
      <c r="M44" s="393"/>
      <c r="N44" s="393"/>
      <c r="O44" s="393"/>
      <c r="P44" s="396"/>
      <c r="Q44" s="393"/>
      <c r="S44" s="396"/>
      <c r="T44" s="396"/>
      <c r="U44" s="398"/>
      <c r="V44" s="399"/>
      <c r="W44" s="393"/>
      <c r="X44" s="393"/>
      <c r="Y44" s="393"/>
      <c r="Z44" s="393"/>
      <c r="AA44" s="397"/>
      <c r="AB44" s="397"/>
      <c r="AC44" s="397"/>
      <c r="AD44" s="397"/>
      <c r="AE44" s="397"/>
      <c r="AF44" s="397"/>
      <c r="AG44" s="397"/>
      <c r="AH44" s="397"/>
      <c r="AI44" s="397"/>
      <c r="AJ44" s="397"/>
      <c r="AK44" s="397"/>
      <c r="AL44" s="397"/>
      <c r="AM44" s="397"/>
      <c r="AN44" s="397"/>
      <c r="AO44" s="397"/>
      <c r="AP44" s="397"/>
      <c r="AQ44" s="397"/>
      <c r="AR44" s="397"/>
      <c r="AS44" s="397"/>
      <c r="AT44" s="397"/>
      <c r="AU44" s="397"/>
      <c r="AV44" s="397"/>
      <c r="AW44" s="397"/>
      <c r="AX44" s="397"/>
    </row>
    <row r="45" spans="2:50" x14ac:dyDescent="0.2">
      <c r="B45" s="393"/>
      <c r="C45" s="393"/>
      <c r="D45" s="393"/>
      <c r="E45" s="393"/>
      <c r="F45" s="393"/>
      <c r="G45" s="393"/>
      <c r="H45" s="393"/>
      <c r="I45" s="393"/>
      <c r="J45" s="393"/>
      <c r="K45" s="393"/>
      <c r="L45" s="393"/>
      <c r="M45" s="393"/>
      <c r="N45" s="393"/>
      <c r="O45" s="393"/>
      <c r="P45" s="396"/>
      <c r="Q45" s="393"/>
      <c r="S45" s="396"/>
      <c r="T45" s="396"/>
      <c r="U45" s="398"/>
      <c r="V45" s="399"/>
      <c r="W45" s="393"/>
      <c r="X45" s="393"/>
      <c r="Y45" s="393"/>
      <c r="Z45" s="393"/>
      <c r="AA45" s="397"/>
      <c r="AB45" s="397"/>
      <c r="AC45" s="397"/>
      <c r="AD45" s="397"/>
      <c r="AE45" s="397"/>
      <c r="AF45" s="397"/>
      <c r="AG45" s="397"/>
      <c r="AH45" s="397"/>
      <c r="AI45" s="397"/>
      <c r="AJ45" s="397"/>
      <c r="AK45" s="397"/>
      <c r="AL45" s="397"/>
      <c r="AM45" s="397"/>
      <c r="AN45" s="397"/>
      <c r="AO45" s="397"/>
      <c r="AP45" s="397"/>
      <c r="AQ45" s="397"/>
      <c r="AR45" s="397"/>
      <c r="AS45" s="397"/>
      <c r="AT45" s="397"/>
      <c r="AU45" s="397"/>
      <c r="AV45" s="397"/>
      <c r="AW45" s="397"/>
      <c r="AX45" s="397"/>
    </row>
    <row r="46" spans="2:50" x14ac:dyDescent="0.2">
      <c r="B46" s="393"/>
      <c r="C46" s="393"/>
      <c r="D46" s="393"/>
      <c r="E46" s="393"/>
      <c r="F46" s="393"/>
      <c r="G46" s="393"/>
      <c r="H46" s="393"/>
      <c r="I46" s="393"/>
      <c r="J46" s="393"/>
      <c r="K46" s="393"/>
      <c r="L46" s="393"/>
      <c r="M46" s="393"/>
      <c r="N46" s="393"/>
      <c r="O46" s="393"/>
      <c r="P46" s="396"/>
      <c r="Q46" s="393"/>
      <c r="S46" s="396"/>
      <c r="T46" s="396"/>
      <c r="U46" s="398"/>
      <c r="V46" s="399"/>
      <c r="W46" s="393"/>
      <c r="X46" s="393"/>
      <c r="Y46" s="393"/>
      <c r="Z46" s="393"/>
      <c r="AA46" s="397"/>
      <c r="AB46" s="397"/>
      <c r="AC46" s="397"/>
      <c r="AD46" s="397"/>
      <c r="AE46" s="397"/>
      <c r="AF46" s="397"/>
      <c r="AG46" s="397"/>
      <c r="AH46" s="397"/>
      <c r="AI46" s="397"/>
      <c r="AJ46" s="397"/>
      <c r="AK46" s="397"/>
      <c r="AL46" s="397"/>
      <c r="AM46" s="397"/>
      <c r="AN46" s="397"/>
      <c r="AO46" s="397"/>
      <c r="AP46" s="397"/>
      <c r="AQ46" s="397"/>
      <c r="AR46" s="397"/>
      <c r="AS46" s="397"/>
      <c r="AT46" s="397"/>
      <c r="AU46" s="397"/>
      <c r="AV46" s="397"/>
      <c r="AW46" s="397"/>
      <c r="AX46" s="397"/>
    </row>
    <row r="47" spans="2:50" x14ac:dyDescent="0.2">
      <c r="B47" s="393"/>
      <c r="C47" s="393"/>
      <c r="D47" s="393"/>
      <c r="E47" s="393"/>
      <c r="F47" s="393"/>
      <c r="G47" s="393"/>
      <c r="H47" s="393"/>
      <c r="I47" s="393"/>
      <c r="J47" s="393"/>
      <c r="K47" s="393"/>
      <c r="L47" s="393"/>
      <c r="M47" s="393"/>
      <c r="N47" s="393"/>
      <c r="O47" s="393"/>
      <c r="P47" s="396"/>
      <c r="Q47" s="393"/>
      <c r="S47" s="396"/>
      <c r="T47" s="396"/>
      <c r="U47" s="398"/>
      <c r="V47" s="399"/>
      <c r="W47" s="393"/>
      <c r="X47" s="393"/>
      <c r="Y47" s="393"/>
      <c r="Z47" s="393"/>
      <c r="AA47" s="397"/>
      <c r="AB47" s="397"/>
      <c r="AC47" s="397"/>
      <c r="AD47" s="397"/>
      <c r="AE47" s="397"/>
      <c r="AF47" s="397"/>
      <c r="AG47" s="397"/>
      <c r="AH47" s="397"/>
      <c r="AI47" s="397"/>
      <c r="AJ47" s="397"/>
      <c r="AK47" s="397"/>
      <c r="AL47" s="397"/>
      <c r="AM47" s="397"/>
      <c r="AN47" s="397"/>
      <c r="AO47" s="397"/>
      <c r="AP47" s="397"/>
      <c r="AQ47" s="397"/>
      <c r="AR47" s="397"/>
      <c r="AS47" s="397"/>
      <c r="AT47" s="397"/>
      <c r="AU47" s="397"/>
      <c r="AV47" s="397"/>
      <c r="AW47" s="397"/>
      <c r="AX47" s="397"/>
    </row>
    <row r="48" spans="2:50" x14ac:dyDescent="0.2">
      <c r="B48" s="393"/>
      <c r="C48" s="393"/>
      <c r="D48" s="393"/>
      <c r="E48" s="393"/>
      <c r="F48" s="393"/>
      <c r="G48" s="393"/>
      <c r="H48" s="393"/>
      <c r="I48" s="393"/>
      <c r="J48" s="393"/>
      <c r="K48" s="393"/>
      <c r="L48" s="393"/>
      <c r="M48" s="393"/>
      <c r="N48" s="393"/>
      <c r="O48" s="393"/>
      <c r="P48" s="396"/>
      <c r="Q48" s="393"/>
      <c r="S48" s="396"/>
      <c r="T48" s="396"/>
      <c r="U48" s="398"/>
      <c r="V48" s="399"/>
      <c r="W48" s="393"/>
      <c r="X48" s="393"/>
      <c r="Y48" s="393"/>
      <c r="Z48" s="393"/>
      <c r="AA48" s="397"/>
      <c r="AB48" s="397"/>
      <c r="AC48" s="397"/>
      <c r="AD48" s="397"/>
      <c r="AE48" s="397"/>
      <c r="AF48" s="397"/>
      <c r="AG48" s="397"/>
      <c r="AH48" s="397"/>
      <c r="AI48" s="397"/>
      <c r="AJ48" s="397"/>
      <c r="AK48" s="397"/>
      <c r="AL48" s="397"/>
      <c r="AM48" s="397"/>
      <c r="AN48" s="397"/>
      <c r="AO48" s="397"/>
      <c r="AP48" s="397"/>
      <c r="AQ48" s="397"/>
      <c r="AR48" s="397"/>
      <c r="AS48" s="397"/>
      <c r="AT48" s="397"/>
      <c r="AU48" s="397"/>
      <c r="AV48" s="397"/>
      <c r="AW48" s="397"/>
      <c r="AX48" s="397"/>
    </row>
    <row r="49" spans="2:50" x14ac:dyDescent="0.2">
      <c r="B49" s="393"/>
      <c r="C49" s="393"/>
      <c r="D49" s="393"/>
      <c r="E49" s="393"/>
      <c r="F49" s="393"/>
      <c r="G49" s="393"/>
      <c r="H49" s="393"/>
      <c r="I49" s="393"/>
      <c r="J49" s="393"/>
      <c r="K49" s="393"/>
      <c r="L49" s="393"/>
      <c r="M49" s="393"/>
      <c r="N49" s="393"/>
      <c r="O49" s="393"/>
      <c r="P49" s="396"/>
      <c r="Q49" s="393"/>
      <c r="S49" s="396"/>
      <c r="T49" s="396"/>
      <c r="U49" s="398"/>
      <c r="V49" s="399"/>
      <c r="W49" s="393"/>
      <c r="X49" s="393"/>
      <c r="Y49" s="393"/>
      <c r="Z49" s="393"/>
      <c r="AA49" s="397"/>
      <c r="AB49" s="397"/>
      <c r="AC49" s="397"/>
      <c r="AD49" s="397"/>
      <c r="AE49" s="397"/>
      <c r="AF49" s="397"/>
      <c r="AG49" s="397"/>
      <c r="AH49" s="397"/>
      <c r="AI49" s="397"/>
      <c r="AJ49" s="397"/>
      <c r="AK49" s="397"/>
      <c r="AL49" s="397"/>
      <c r="AM49" s="397"/>
      <c r="AN49" s="397"/>
      <c r="AO49" s="397"/>
      <c r="AP49" s="397"/>
      <c r="AQ49" s="397"/>
      <c r="AR49" s="397"/>
      <c r="AS49" s="397"/>
      <c r="AT49" s="397"/>
      <c r="AU49" s="397"/>
      <c r="AV49" s="397"/>
      <c r="AW49" s="397"/>
      <c r="AX49" s="397"/>
    </row>
    <row r="50" spans="2:50" x14ac:dyDescent="0.2">
      <c r="B50" s="393"/>
      <c r="C50" s="393"/>
      <c r="D50" s="393"/>
      <c r="E50" s="393"/>
      <c r="F50" s="393"/>
      <c r="G50" s="393"/>
      <c r="H50" s="393"/>
      <c r="I50" s="393"/>
      <c r="J50" s="393"/>
      <c r="K50" s="393"/>
      <c r="L50" s="393"/>
      <c r="M50" s="393"/>
      <c r="N50" s="393"/>
      <c r="O50" s="393"/>
      <c r="P50" s="396"/>
      <c r="Q50" s="393"/>
      <c r="S50" s="396"/>
      <c r="T50" s="396"/>
      <c r="U50" s="398"/>
      <c r="V50" s="399"/>
      <c r="W50" s="393"/>
      <c r="X50" s="393"/>
      <c r="Y50" s="393"/>
      <c r="Z50" s="393"/>
      <c r="AA50" s="397"/>
      <c r="AB50" s="397"/>
      <c r="AC50" s="397"/>
      <c r="AD50" s="397"/>
      <c r="AE50" s="397"/>
      <c r="AF50" s="397"/>
      <c r="AG50" s="397"/>
      <c r="AH50" s="397"/>
      <c r="AI50" s="397"/>
      <c r="AJ50" s="397"/>
      <c r="AK50" s="397"/>
      <c r="AL50" s="397"/>
      <c r="AM50" s="397"/>
      <c r="AN50" s="397"/>
      <c r="AO50" s="397"/>
      <c r="AP50" s="397"/>
      <c r="AQ50" s="397"/>
      <c r="AR50" s="397"/>
      <c r="AS50" s="397"/>
      <c r="AT50" s="397"/>
      <c r="AU50" s="397"/>
      <c r="AV50" s="397"/>
      <c r="AW50" s="397"/>
      <c r="AX50" s="397"/>
    </row>
    <row r="51" spans="2:50" x14ac:dyDescent="0.2">
      <c r="B51" s="393"/>
      <c r="C51" s="393"/>
      <c r="D51" s="393"/>
      <c r="E51" s="393"/>
      <c r="F51" s="393"/>
      <c r="G51" s="393"/>
      <c r="H51" s="393"/>
      <c r="I51" s="393"/>
      <c r="J51" s="393"/>
      <c r="K51" s="393"/>
      <c r="L51" s="393"/>
      <c r="M51" s="393"/>
      <c r="N51" s="393"/>
      <c r="O51" s="393"/>
      <c r="P51" s="396"/>
      <c r="Q51" s="393"/>
      <c r="S51" s="396"/>
      <c r="T51" s="396"/>
      <c r="U51" s="398"/>
      <c r="V51" s="399"/>
      <c r="W51" s="393"/>
      <c r="X51" s="393"/>
      <c r="Y51" s="393"/>
      <c r="Z51" s="393"/>
      <c r="AA51" s="397"/>
      <c r="AB51" s="397"/>
      <c r="AC51" s="397"/>
      <c r="AD51" s="397"/>
      <c r="AE51" s="397"/>
      <c r="AF51" s="397"/>
      <c r="AG51" s="397"/>
      <c r="AH51" s="397"/>
      <c r="AI51" s="397"/>
      <c r="AJ51" s="397"/>
      <c r="AK51" s="397"/>
      <c r="AL51" s="397"/>
      <c r="AM51" s="397"/>
      <c r="AN51" s="397"/>
      <c r="AO51" s="397"/>
      <c r="AP51" s="397"/>
      <c r="AQ51" s="397"/>
      <c r="AR51" s="397"/>
      <c r="AS51" s="397"/>
      <c r="AT51" s="397"/>
      <c r="AU51" s="397"/>
      <c r="AV51" s="397"/>
      <c r="AW51" s="397"/>
      <c r="AX51" s="397"/>
    </row>
    <row r="52" spans="2:50" x14ac:dyDescent="0.2">
      <c r="B52" s="393"/>
      <c r="C52" s="393"/>
      <c r="D52" s="393"/>
      <c r="E52" s="393"/>
      <c r="F52" s="393"/>
      <c r="G52" s="393"/>
      <c r="H52" s="393"/>
      <c r="I52" s="393"/>
      <c r="J52" s="393"/>
      <c r="K52" s="393"/>
      <c r="L52" s="393"/>
      <c r="M52" s="393"/>
      <c r="N52" s="393"/>
      <c r="O52" s="393"/>
      <c r="P52" s="396"/>
      <c r="Q52" s="393"/>
      <c r="S52" s="396"/>
      <c r="T52" s="396"/>
      <c r="U52" s="398"/>
      <c r="V52" s="399"/>
      <c r="W52" s="393"/>
      <c r="X52" s="393"/>
      <c r="Y52" s="393"/>
      <c r="Z52" s="393"/>
      <c r="AA52" s="397"/>
      <c r="AB52" s="397"/>
      <c r="AC52" s="397"/>
      <c r="AD52" s="397"/>
      <c r="AE52" s="397"/>
      <c r="AF52" s="397"/>
      <c r="AG52" s="397"/>
      <c r="AH52" s="397"/>
      <c r="AI52" s="397"/>
      <c r="AJ52" s="397"/>
      <c r="AK52" s="397"/>
      <c r="AL52" s="397"/>
      <c r="AM52" s="397"/>
      <c r="AN52" s="397"/>
      <c r="AO52" s="397"/>
      <c r="AP52" s="397"/>
      <c r="AQ52" s="397"/>
      <c r="AR52" s="397"/>
      <c r="AS52" s="397"/>
      <c r="AT52" s="397"/>
      <c r="AU52" s="397"/>
      <c r="AV52" s="397"/>
      <c r="AW52" s="397"/>
      <c r="AX52" s="397"/>
    </row>
    <row r="53" spans="2:50" x14ac:dyDescent="0.2">
      <c r="B53" s="393"/>
      <c r="C53" s="393"/>
      <c r="D53" s="393"/>
      <c r="E53" s="393"/>
      <c r="F53" s="393"/>
      <c r="G53" s="393"/>
      <c r="H53" s="393"/>
      <c r="I53" s="393"/>
      <c r="J53" s="393"/>
      <c r="K53" s="393"/>
      <c r="L53" s="393"/>
      <c r="M53" s="393"/>
      <c r="N53" s="393"/>
      <c r="O53" s="393"/>
      <c r="P53" s="396"/>
      <c r="Q53" s="393"/>
      <c r="S53" s="396"/>
      <c r="T53" s="396"/>
      <c r="U53" s="398"/>
      <c r="V53" s="399"/>
      <c r="W53" s="393"/>
      <c r="X53" s="393"/>
      <c r="Y53" s="393"/>
      <c r="Z53" s="393"/>
      <c r="AA53" s="397"/>
      <c r="AB53" s="397"/>
      <c r="AC53" s="397"/>
      <c r="AD53" s="397"/>
      <c r="AE53" s="397"/>
      <c r="AF53" s="397"/>
      <c r="AG53" s="397"/>
      <c r="AH53" s="397"/>
      <c r="AI53" s="397"/>
      <c r="AJ53" s="397"/>
      <c r="AK53" s="397"/>
      <c r="AL53" s="397"/>
      <c r="AM53" s="397"/>
      <c r="AN53" s="397"/>
      <c r="AO53" s="397"/>
      <c r="AP53" s="397"/>
      <c r="AQ53" s="397"/>
      <c r="AR53" s="397"/>
      <c r="AS53" s="397"/>
      <c r="AT53" s="397"/>
      <c r="AU53" s="397"/>
      <c r="AV53" s="397"/>
      <c r="AW53" s="397"/>
      <c r="AX53" s="397"/>
    </row>
    <row r="54" spans="2:50" x14ac:dyDescent="0.2">
      <c r="B54" s="393"/>
      <c r="C54" s="393"/>
      <c r="D54" s="393"/>
      <c r="E54" s="393"/>
      <c r="F54" s="393"/>
      <c r="G54" s="393"/>
      <c r="H54" s="393"/>
      <c r="I54" s="393"/>
      <c r="J54" s="393"/>
      <c r="K54" s="393"/>
      <c r="L54" s="393"/>
      <c r="M54" s="393"/>
      <c r="N54" s="393"/>
      <c r="O54" s="393"/>
      <c r="P54" s="396"/>
      <c r="Q54" s="393"/>
      <c r="S54" s="396"/>
      <c r="T54" s="396"/>
      <c r="U54" s="398"/>
      <c r="V54" s="399"/>
      <c r="W54" s="393"/>
      <c r="X54" s="393"/>
      <c r="Y54" s="393"/>
      <c r="Z54" s="393"/>
      <c r="AA54" s="397"/>
      <c r="AB54" s="397"/>
      <c r="AC54" s="397"/>
      <c r="AD54" s="397"/>
      <c r="AE54" s="397"/>
      <c r="AF54" s="397"/>
      <c r="AG54" s="397"/>
      <c r="AH54" s="397"/>
      <c r="AI54" s="397"/>
      <c r="AJ54" s="397"/>
      <c r="AK54" s="397"/>
      <c r="AL54" s="397"/>
      <c r="AM54" s="397"/>
      <c r="AN54" s="397"/>
      <c r="AO54" s="397"/>
      <c r="AP54" s="397"/>
      <c r="AQ54" s="397"/>
      <c r="AR54" s="397"/>
      <c r="AS54" s="397"/>
      <c r="AT54" s="397"/>
      <c r="AU54" s="397"/>
      <c r="AV54" s="397"/>
      <c r="AW54" s="397"/>
      <c r="AX54" s="397"/>
    </row>
    <row r="55" spans="2:50" x14ac:dyDescent="0.2">
      <c r="B55" s="393"/>
      <c r="C55" s="393"/>
      <c r="D55" s="393"/>
      <c r="E55" s="393"/>
      <c r="F55" s="393"/>
      <c r="G55" s="393"/>
      <c r="H55" s="393"/>
      <c r="I55" s="393"/>
      <c r="J55" s="393"/>
      <c r="K55" s="393"/>
      <c r="L55" s="393"/>
      <c r="M55" s="393"/>
      <c r="N55" s="393"/>
      <c r="O55" s="393"/>
      <c r="P55" s="396"/>
      <c r="Q55" s="393"/>
      <c r="S55" s="396"/>
      <c r="T55" s="396"/>
      <c r="U55" s="398"/>
      <c r="V55" s="399"/>
      <c r="W55" s="393"/>
      <c r="X55" s="393"/>
      <c r="Y55" s="393"/>
      <c r="Z55" s="393"/>
      <c r="AA55" s="397"/>
      <c r="AB55" s="397"/>
      <c r="AC55" s="397"/>
      <c r="AD55" s="397"/>
      <c r="AE55" s="397"/>
      <c r="AF55" s="397"/>
      <c r="AG55" s="397"/>
      <c r="AH55" s="397"/>
      <c r="AI55" s="397"/>
      <c r="AJ55" s="397"/>
      <c r="AK55" s="397"/>
      <c r="AL55" s="397"/>
      <c r="AM55" s="397"/>
      <c r="AN55" s="397"/>
      <c r="AO55" s="397"/>
      <c r="AP55" s="397"/>
      <c r="AQ55" s="397"/>
      <c r="AR55" s="397"/>
      <c r="AS55" s="397"/>
      <c r="AT55" s="397"/>
      <c r="AU55" s="397"/>
      <c r="AV55" s="397"/>
      <c r="AW55" s="397"/>
      <c r="AX55" s="397"/>
    </row>
    <row r="56" spans="2:50" x14ac:dyDescent="0.2">
      <c r="B56" s="393"/>
      <c r="C56" s="393"/>
      <c r="D56" s="393"/>
      <c r="E56" s="393"/>
      <c r="F56" s="393"/>
      <c r="G56" s="393"/>
      <c r="H56" s="393"/>
      <c r="I56" s="393"/>
      <c r="J56" s="393"/>
      <c r="K56" s="393"/>
      <c r="L56" s="393"/>
      <c r="M56" s="393"/>
      <c r="N56" s="393"/>
      <c r="O56" s="393"/>
      <c r="P56" s="396"/>
      <c r="Q56" s="393"/>
      <c r="S56" s="396"/>
      <c r="T56" s="396"/>
      <c r="U56" s="398"/>
      <c r="V56" s="399"/>
      <c r="W56" s="393"/>
      <c r="X56" s="393"/>
      <c r="Y56" s="393"/>
      <c r="Z56" s="393"/>
      <c r="AA56" s="397"/>
      <c r="AB56" s="397"/>
      <c r="AC56" s="397"/>
      <c r="AD56" s="397"/>
      <c r="AE56" s="397"/>
      <c r="AF56" s="397"/>
      <c r="AG56" s="397"/>
      <c r="AH56" s="397"/>
      <c r="AI56" s="397"/>
      <c r="AJ56" s="397"/>
      <c r="AK56" s="397"/>
      <c r="AL56" s="397"/>
      <c r="AM56" s="397"/>
      <c r="AN56" s="397"/>
      <c r="AO56" s="397"/>
      <c r="AP56" s="397"/>
      <c r="AQ56" s="397"/>
      <c r="AR56" s="397"/>
      <c r="AS56" s="397"/>
      <c r="AT56" s="397"/>
      <c r="AU56" s="397"/>
      <c r="AV56" s="397"/>
      <c r="AW56" s="397"/>
      <c r="AX56" s="397"/>
    </row>
    <row r="57" spans="2:50" x14ac:dyDescent="0.2">
      <c r="B57" s="393"/>
      <c r="C57" s="393"/>
      <c r="D57" s="393"/>
      <c r="E57" s="393"/>
      <c r="F57" s="393"/>
      <c r="G57" s="393"/>
      <c r="H57" s="393"/>
      <c r="I57" s="393"/>
      <c r="J57" s="393"/>
      <c r="K57" s="393"/>
      <c r="L57" s="393"/>
      <c r="M57" s="393"/>
      <c r="N57" s="393"/>
      <c r="O57" s="393"/>
      <c r="P57" s="396"/>
      <c r="Q57" s="393"/>
      <c r="S57" s="396"/>
      <c r="T57" s="396"/>
      <c r="U57" s="398"/>
      <c r="V57" s="399"/>
      <c r="W57" s="393"/>
      <c r="X57" s="393"/>
      <c r="Y57" s="393"/>
      <c r="Z57" s="393"/>
      <c r="AA57" s="397"/>
      <c r="AB57" s="397"/>
      <c r="AC57" s="397"/>
      <c r="AD57" s="397"/>
      <c r="AE57" s="397"/>
      <c r="AF57" s="397"/>
      <c r="AG57" s="397"/>
      <c r="AH57" s="397"/>
      <c r="AI57" s="397"/>
      <c r="AJ57" s="397"/>
      <c r="AK57" s="397"/>
      <c r="AL57" s="397"/>
      <c r="AM57" s="397"/>
      <c r="AN57" s="397"/>
      <c r="AO57" s="397"/>
      <c r="AP57" s="397"/>
      <c r="AQ57" s="397"/>
      <c r="AR57" s="397"/>
      <c r="AS57" s="397"/>
      <c r="AT57" s="397"/>
      <c r="AU57" s="397"/>
      <c r="AV57" s="397"/>
      <c r="AW57" s="397"/>
      <c r="AX57" s="397"/>
    </row>
    <row r="58" spans="2:50" x14ac:dyDescent="0.2">
      <c r="B58" s="393"/>
      <c r="C58" s="393"/>
      <c r="D58" s="393"/>
      <c r="E58" s="393"/>
      <c r="F58" s="393"/>
      <c r="G58" s="393"/>
      <c r="H58" s="393"/>
      <c r="I58" s="393"/>
      <c r="J58" s="393"/>
      <c r="K58" s="393"/>
      <c r="L58" s="393"/>
      <c r="M58" s="393"/>
      <c r="N58" s="393"/>
      <c r="O58" s="393"/>
      <c r="P58" s="396"/>
      <c r="Q58" s="393"/>
      <c r="S58" s="396"/>
      <c r="T58" s="396"/>
      <c r="U58" s="398"/>
      <c r="V58" s="399"/>
      <c r="W58" s="393"/>
      <c r="X58" s="393"/>
      <c r="Y58" s="393"/>
      <c r="Z58" s="393"/>
      <c r="AA58" s="397"/>
      <c r="AB58" s="397"/>
      <c r="AC58" s="397"/>
      <c r="AD58" s="397"/>
      <c r="AE58" s="397"/>
      <c r="AF58" s="397"/>
      <c r="AG58" s="397"/>
      <c r="AH58" s="397"/>
      <c r="AI58" s="397"/>
      <c r="AJ58" s="397"/>
      <c r="AK58" s="397"/>
      <c r="AL58" s="397"/>
      <c r="AM58" s="397"/>
      <c r="AN58" s="397"/>
      <c r="AO58" s="397"/>
      <c r="AP58" s="397"/>
      <c r="AQ58" s="397"/>
      <c r="AR58" s="397"/>
      <c r="AS58" s="397"/>
      <c r="AT58" s="397"/>
      <c r="AU58" s="397"/>
      <c r="AV58" s="397"/>
      <c r="AW58" s="397"/>
      <c r="AX58" s="397"/>
    </row>
    <row r="59" spans="2:50" x14ac:dyDescent="0.2">
      <c r="B59" s="393"/>
      <c r="C59" s="393"/>
      <c r="D59" s="393"/>
      <c r="E59" s="393"/>
      <c r="F59" s="393"/>
      <c r="G59" s="393"/>
      <c r="H59" s="393"/>
      <c r="I59" s="393"/>
      <c r="J59" s="393"/>
      <c r="K59" s="393"/>
      <c r="L59" s="393"/>
      <c r="M59" s="393"/>
      <c r="N59" s="393"/>
      <c r="O59" s="393"/>
      <c r="P59" s="396"/>
      <c r="Q59" s="393"/>
      <c r="S59" s="396"/>
      <c r="T59" s="396"/>
      <c r="U59" s="398"/>
      <c r="V59" s="399"/>
      <c r="W59" s="393"/>
      <c r="X59" s="393"/>
      <c r="Y59" s="393"/>
      <c r="Z59" s="393"/>
      <c r="AA59" s="397"/>
      <c r="AB59" s="397"/>
      <c r="AC59" s="397"/>
      <c r="AD59" s="397"/>
      <c r="AE59" s="397"/>
      <c r="AF59" s="397"/>
      <c r="AG59" s="397"/>
      <c r="AH59" s="397"/>
      <c r="AI59" s="397"/>
      <c r="AJ59" s="397"/>
      <c r="AK59" s="397"/>
      <c r="AL59" s="397"/>
      <c r="AM59" s="397"/>
      <c r="AN59" s="397"/>
      <c r="AO59" s="397"/>
      <c r="AP59" s="397"/>
      <c r="AQ59" s="397"/>
      <c r="AR59" s="397"/>
      <c r="AS59" s="397"/>
      <c r="AT59" s="397"/>
      <c r="AU59" s="397"/>
      <c r="AV59" s="397"/>
      <c r="AW59" s="397"/>
      <c r="AX59" s="397"/>
    </row>
    <row r="60" spans="2:50" x14ac:dyDescent="0.2">
      <c r="B60" s="393"/>
      <c r="C60" s="393"/>
      <c r="D60" s="393"/>
      <c r="E60" s="393"/>
      <c r="F60" s="393"/>
      <c r="G60" s="393"/>
      <c r="H60" s="393"/>
      <c r="I60" s="393"/>
      <c r="J60" s="393"/>
      <c r="K60" s="393"/>
      <c r="L60" s="393"/>
      <c r="M60" s="393"/>
      <c r="N60" s="393"/>
      <c r="O60" s="393"/>
      <c r="P60" s="396"/>
      <c r="Q60" s="393"/>
      <c r="S60" s="396"/>
      <c r="T60" s="396"/>
      <c r="U60" s="398"/>
      <c r="V60" s="399"/>
      <c r="W60" s="393"/>
      <c r="X60" s="393"/>
      <c r="Y60" s="393"/>
      <c r="Z60" s="393"/>
      <c r="AA60" s="397"/>
      <c r="AB60" s="397"/>
      <c r="AC60" s="397"/>
      <c r="AD60" s="397"/>
      <c r="AE60" s="397"/>
      <c r="AF60" s="397"/>
      <c r="AG60" s="397"/>
      <c r="AH60" s="397"/>
      <c r="AI60" s="397"/>
      <c r="AJ60" s="397"/>
      <c r="AK60" s="397"/>
      <c r="AL60" s="397"/>
      <c r="AM60" s="397"/>
      <c r="AN60" s="397"/>
      <c r="AO60" s="397"/>
      <c r="AP60" s="397"/>
      <c r="AQ60" s="397"/>
      <c r="AR60" s="397"/>
      <c r="AS60" s="397"/>
      <c r="AT60" s="397"/>
      <c r="AU60" s="397"/>
      <c r="AV60" s="397"/>
      <c r="AW60" s="397"/>
      <c r="AX60" s="397"/>
    </row>
    <row r="61" spans="2:50" x14ac:dyDescent="0.2">
      <c r="B61" s="393"/>
      <c r="C61" s="393"/>
      <c r="D61" s="393"/>
      <c r="E61" s="393"/>
      <c r="F61" s="393"/>
      <c r="G61" s="393"/>
      <c r="H61" s="393"/>
      <c r="I61" s="393"/>
      <c r="J61" s="393"/>
      <c r="K61" s="393"/>
      <c r="L61" s="393"/>
      <c r="M61" s="393"/>
      <c r="N61" s="393"/>
      <c r="O61" s="393"/>
      <c r="P61" s="396"/>
      <c r="Q61" s="393"/>
      <c r="S61" s="396"/>
      <c r="T61" s="396"/>
      <c r="U61" s="398"/>
      <c r="V61" s="399"/>
      <c r="W61" s="393"/>
      <c r="X61" s="393"/>
      <c r="Y61" s="393"/>
      <c r="Z61" s="393"/>
      <c r="AA61" s="397"/>
      <c r="AB61" s="397"/>
      <c r="AC61" s="397"/>
      <c r="AD61" s="397"/>
      <c r="AE61" s="397"/>
      <c r="AF61" s="397"/>
      <c r="AG61" s="397"/>
      <c r="AH61" s="397"/>
      <c r="AI61" s="397"/>
      <c r="AJ61" s="397"/>
      <c r="AK61" s="397"/>
      <c r="AL61" s="397"/>
      <c r="AM61" s="397"/>
      <c r="AN61" s="397"/>
      <c r="AO61" s="397"/>
      <c r="AP61" s="397"/>
      <c r="AQ61" s="397"/>
      <c r="AR61" s="397"/>
      <c r="AS61" s="397"/>
      <c r="AT61" s="397"/>
      <c r="AU61" s="397"/>
      <c r="AV61" s="397"/>
      <c r="AW61" s="397"/>
      <c r="AX61" s="397"/>
    </row>
    <row r="62" spans="2:50" x14ac:dyDescent="0.2">
      <c r="B62" s="393"/>
      <c r="C62" s="393"/>
      <c r="D62" s="393"/>
      <c r="E62" s="393"/>
      <c r="F62" s="393"/>
      <c r="G62" s="393"/>
      <c r="H62" s="393"/>
      <c r="I62" s="393"/>
      <c r="J62" s="393"/>
      <c r="K62" s="393"/>
      <c r="L62" s="393"/>
      <c r="M62" s="393"/>
      <c r="N62" s="393"/>
      <c r="O62" s="393"/>
      <c r="P62" s="396"/>
      <c r="Q62" s="393"/>
      <c r="S62" s="396"/>
      <c r="T62" s="396"/>
      <c r="U62" s="398"/>
      <c r="V62" s="399"/>
      <c r="W62" s="393"/>
      <c r="X62" s="393"/>
      <c r="Y62" s="393"/>
      <c r="Z62" s="393"/>
      <c r="AA62" s="397"/>
      <c r="AB62" s="397"/>
      <c r="AC62" s="397"/>
      <c r="AD62" s="397"/>
      <c r="AE62" s="397"/>
      <c r="AF62" s="397"/>
      <c r="AG62" s="397"/>
      <c r="AH62" s="397"/>
      <c r="AI62" s="397"/>
      <c r="AJ62" s="397"/>
      <c r="AK62" s="397"/>
      <c r="AL62" s="397"/>
      <c r="AM62" s="397"/>
      <c r="AN62" s="397"/>
      <c r="AO62" s="397"/>
      <c r="AP62" s="397"/>
      <c r="AQ62" s="397"/>
      <c r="AR62" s="397"/>
      <c r="AS62" s="397"/>
      <c r="AT62" s="397"/>
      <c r="AU62" s="397"/>
      <c r="AV62" s="397"/>
      <c r="AW62" s="397"/>
      <c r="AX62" s="397"/>
    </row>
    <row r="63" spans="2:50" x14ac:dyDescent="0.2">
      <c r="B63" s="393"/>
      <c r="C63" s="393"/>
      <c r="D63" s="393"/>
      <c r="E63" s="393"/>
      <c r="F63" s="393"/>
      <c r="G63" s="393"/>
      <c r="H63" s="393"/>
      <c r="I63" s="393"/>
      <c r="J63" s="393"/>
      <c r="K63" s="393"/>
      <c r="L63" s="393"/>
      <c r="M63" s="393"/>
      <c r="N63" s="393"/>
      <c r="O63" s="393"/>
      <c r="P63" s="396"/>
      <c r="Q63" s="393"/>
      <c r="S63" s="396"/>
      <c r="T63" s="396"/>
      <c r="U63" s="398"/>
      <c r="V63" s="399"/>
      <c r="W63" s="393"/>
      <c r="X63" s="393"/>
      <c r="Y63" s="393"/>
      <c r="Z63" s="393"/>
      <c r="AA63" s="397"/>
      <c r="AB63" s="397"/>
      <c r="AC63" s="397"/>
      <c r="AD63" s="397"/>
      <c r="AE63" s="397"/>
      <c r="AF63" s="397"/>
      <c r="AG63" s="397"/>
      <c r="AH63" s="397"/>
      <c r="AI63" s="397"/>
      <c r="AJ63" s="397"/>
      <c r="AK63" s="397"/>
      <c r="AL63" s="397"/>
      <c r="AM63" s="397"/>
      <c r="AN63" s="397"/>
      <c r="AO63" s="397"/>
      <c r="AP63" s="397"/>
      <c r="AQ63" s="397"/>
      <c r="AR63" s="397"/>
      <c r="AS63" s="397"/>
      <c r="AT63" s="397"/>
      <c r="AU63" s="397"/>
      <c r="AV63" s="397"/>
      <c r="AW63" s="397"/>
      <c r="AX63" s="397"/>
    </row>
    <row r="64" spans="2:50" x14ac:dyDescent="0.2">
      <c r="B64" s="393"/>
      <c r="C64" s="393"/>
      <c r="D64" s="393"/>
      <c r="E64" s="393"/>
      <c r="F64" s="393"/>
      <c r="G64" s="393"/>
      <c r="H64" s="393"/>
      <c r="I64" s="393"/>
      <c r="J64" s="393"/>
      <c r="K64" s="393"/>
      <c r="L64" s="393"/>
      <c r="M64" s="393"/>
      <c r="N64" s="393"/>
      <c r="O64" s="393"/>
      <c r="P64" s="396"/>
      <c r="Q64" s="393"/>
      <c r="S64" s="396"/>
      <c r="T64" s="396"/>
      <c r="U64" s="398"/>
      <c r="V64" s="399"/>
      <c r="W64" s="393"/>
      <c r="X64" s="393"/>
      <c r="Y64" s="393"/>
      <c r="Z64" s="393"/>
      <c r="AA64" s="397"/>
      <c r="AB64" s="397"/>
      <c r="AC64" s="397"/>
      <c r="AD64" s="397"/>
      <c r="AE64" s="397"/>
      <c r="AF64" s="397"/>
      <c r="AG64" s="397"/>
      <c r="AH64" s="397"/>
      <c r="AI64" s="397"/>
      <c r="AJ64" s="397"/>
      <c r="AK64" s="397"/>
      <c r="AL64" s="397"/>
      <c r="AM64" s="397"/>
      <c r="AN64" s="397"/>
      <c r="AO64" s="397"/>
      <c r="AP64" s="397"/>
      <c r="AQ64" s="397"/>
      <c r="AR64" s="397"/>
      <c r="AS64" s="397"/>
      <c r="AT64" s="397"/>
      <c r="AU64" s="397"/>
      <c r="AV64" s="397"/>
      <c r="AW64" s="397"/>
      <c r="AX64" s="397"/>
    </row>
    <row r="65" spans="2:50" x14ac:dyDescent="0.2">
      <c r="B65" s="393"/>
      <c r="C65" s="393"/>
      <c r="D65" s="393"/>
      <c r="E65" s="393"/>
      <c r="F65" s="393"/>
      <c r="G65" s="393"/>
      <c r="H65" s="393"/>
      <c r="I65" s="393"/>
      <c r="J65" s="393"/>
      <c r="K65" s="393"/>
      <c r="L65" s="393"/>
      <c r="M65" s="393"/>
      <c r="N65" s="393"/>
      <c r="O65" s="393"/>
      <c r="P65" s="396"/>
      <c r="Q65" s="393"/>
      <c r="S65" s="396"/>
      <c r="T65" s="396"/>
      <c r="U65" s="398"/>
      <c r="V65" s="399"/>
      <c r="W65" s="393"/>
      <c r="X65" s="393"/>
      <c r="Y65" s="393"/>
      <c r="Z65" s="393"/>
      <c r="AA65" s="397"/>
      <c r="AB65" s="397"/>
      <c r="AC65" s="397"/>
      <c r="AD65" s="397"/>
      <c r="AE65" s="397"/>
      <c r="AF65" s="397"/>
      <c r="AG65" s="397"/>
      <c r="AH65" s="397"/>
      <c r="AI65" s="397"/>
      <c r="AJ65" s="397"/>
      <c r="AK65" s="397"/>
      <c r="AL65" s="397"/>
      <c r="AM65" s="397"/>
      <c r="AN65" s="397"/>
      <c r="AO65" s="397"/>
      <c r="AP65" s="397"/>
      <c r="AQ65" s="397"/>
      <c r="AR65" s="397"/>
      <c r="AS65" s="397"/>
      <c r="AT65" s="397"/>
      <c r="AU65" s="397"/>
      <c r="AV65" s="397"/>
      <c r="AW65" s="397"/>
      <c r="AX65" s="397"/>
    </row>
    <row r="66" spans="2:50" x14ac:dyDescent="0.2">
      <c r="B66" s="393"/>
      <c r="C66" s="393"/>
      <c r="D66" s="393"/>
      <c r="E66" s="393"/>
      <c r="F66" s="393"/>
      <c r="G66" s="393"/>
      <c r="H66" s="393"/>
      <c r="I66" s="393"/>
      <c r="J66" s="393"/>
      <c r="K66" s="393"/>
      <c r="L66" s="393"/>
      <c r="M66" s="393"/>
      <c r="N66" s="393"/>
      <c r="O66" s="393"/>
      <c r="P66" s="396"/>
      <c r="Q66" s="393"/>
      <c r="S66" s="396"/>
      <c r="T66" s="396"/>
      <c r="U66" s="398"/>
      <c r="V66" s="399"/>
      <c r="W66" s="393"/>
      <c r="X66" s="393"/>
      <c r="Y66" s="393"/>
      <c r="Z66" s="393"/>
      <c r="AA66" s="397"/>
      <c r="AB66" s="397"/>
      <c r="AC66" s="397"/>
      <c r="AD66" s="397"/>
      <c r="AE66" s="397"/>
      <c r="AF66" s="397"/>
      <c r="AG66" s="397"/>
      <c r="AH66" s="397"/>
      <c r="AI66" s="397"/>
      <c r="AJ66" s="397"/>
      <c r="AK66" s="397"/>
      <c r="AL66" s="397"/>
      <c r="AM66" s="397"/>
      <c r="AN66" s="397"/>
      <c r="AO66" s="397"/>
      <c r="AP66" s="397"/>
      <c r="AQ66" s="397"/>
      <c r="AR66" s="397"/>
      <c r="AS66" s="397"/>
      <c r="AT66" s="397"/>
      <c r="AU66" s="397"/>
      <c r="AV66" s="397"/>
      <c r="AW66" s="397"/>
      <c r="AX66" s="397"/>
    </row>
    <row r="67" spans="2:50" x14ac:dyDescent="0.2">
      <c r="B67" s="393"/>
      <c r="C67" s="393"/>
      <c r="D67" s="393"/>
      <c r="E67" s="393"/>
      <c r="F67" s="393"/>
      <c r="G67" s="393"/>
      <c r="H67" s="393"/>
      <c r="I67" s="393"/>
      <c r="J67" s="393"/>
      <c r="K67" s="393"/>
      <c r="L67" s="393"/>
      <c r="M67" s="393"/>
      <c r="N67" s="393"/>
      <c r="O67" s="393"/>
      <c r="P67" s="396"/>
      <c r="Q67" s="393"/>
      <c r="S67" s="396"/>
      <c r="T67" s="396"/>
      <c r="U67" s="398"/>
      <c r="V67" s="399"/>
      <c r="W67" s="393"/>
      <c r="X67" s="393"/>
      <c r="Y67" s="393"/>
      <c r="Z67" s="393"/>
      <c r="AA67" s="397"/>
      <c r="AB67" s="397"/>
      <c r="AC67" s="397"/>
      <c r="AD67" s="397"/>
      <c r="AE67" s="397"/>
      <c r="AF67" s="397"/>
      <c r="AG67" s="397"/>
      <c r="AH67" s="397"/>
      <c r="AI67" s="397"/>
      <c r="AJ67" s="397"/>
      <c r="AK67" s="397"/>
      <c r="AL67" s="397"/>
      <c r="AM67" s="397"/>
      <c r="AN67" s="397"/>
      <c r="AO67" s="397"/>
      <c r="AP67" s="397"/>
      <c r="AQ67" s="397"/>
      <c r="AR67" s="397"/>
      <c r="AS67" s="397"/>
      <c r="AT67" s="397"/>
      <c r="AU67" s="397"/>
      <c r="AV67" s="397"/>
      <c r="AW67" s="397"/>
      <c r="AX67" s="397"/>
    </row>
    <row r="68" spans="2:50" x14ac:dyDescent="0.2">
      <c r="B68" s="393"/>
      <c r="C68" s="393"/>
      <c r="D68" s="393"/>
      <c r="E68" s="393"/>
      <c r="F68" s="393"/>
      <c r="G68" s="393"/>
      <c r="H68" s="393"/>
      <c r="I68" s="393"/>
      <c r="J68" s="393"/>
      <c r="K68" s="393"/>
      <c r="L68" s="393"/>
      <c r="M68" s="393"/>
      <c r="N68" s="393"/>
      <c r="O68" s="393"/>
      <c r="P68" s="396"/>
      <c r="Q68" s="393"/>
      <c r="S68" s="396"/>
      <c r="T68" s="396"/>
      <c r="U68" s="398"/>
      <c r="V68" s="399"/>
      <c r="W68" s="393"/>
      <c r="X68" s="393"/>
      <c r="Y68" s="393"/>
      <c r="Z68" s="393"/>
      <c r="AA68" s="397"/>
      <c r="AB68" s="397"/>
      <c r="AC68" s="397"/>
      <c r="AD68" s="397"/>
      <c r="AE68" s="397"/>
      <c r="AF68" s="397"/>
      <c r="AG68" s="397"/>
      <c r="AH68" s="397"/>
      <c r="AI68" s="397"/>
      <c r="AJ68" s="397"/>
      <c r="AK68" s="397"/>
      <c r="AL68" s="397"/>
      <c r="AM68" s="397"/>
      <c r="AN68" s="397"/>
      <c r="AO68" s="397"/>
      <c r="AP68" s="397"/>
      <c r="AQ68" s="397"/>
      <c r="AR68" s="397"/>
      <c r="AS68" s="397"/>
      <c r="AT68" s="397"/>
      <c r="AU68" s="397"/>
      <c r="AV68" s="397"/>
      <c r="AW68" s="397"/>
      <c r="AX68" s="397"/>
    </row>
    <row r="69" spans="2:50" x14ac:dyDescent="0.2">
      <c r="B69" s="393"/>
      <c r="C69" s="393"/>
      <c r="D69" s="393"/>
      <c r="E69" s="393"/>
      <c r="F69" s="393"/>
      <c r="G69" s="393"/>
      <c r="H69" s="393"/>
      <c r="I69" s="393"/>
      <c r="J69" s="393"/>
      <c r="K69" s="393"/>
      <c r="L69" s="393"/>
      <c r="M69" s="393"/>
      <c r="N69" s="393"/>
      <c r="O69" s="393"/>
      <c r="P69" s="396"/>
      <c r="Q69" s="393"/>
      <c r="S69" s="396"/>
      <c r="T69" s="396"/>
      <c r="U69" s="398"/>
      <c r="V69" s="399"/>
      <c r="W69" s="393"/>
      <c r="X69" s="393"/>
      <c r="Y69" s="393"/>
      <c r="Z69" s="393"/>
      <c r="AA69" s="397"/>
      <c r="AB69" s="397"/>
      <c r="AC69" s="397"/>
      <c r="AD69" s="397"/>
      <c r="AE69" s="397"/>
      <c r="AF69" s="397"/>
      <c r="AG69" s="397"/>
      <c r="AH69" s="397"/>
      <c r="AI69" s="397"/>
      <c r="AJ69" s="397"/>
      <c r="AK69" s="397"/>
      <c r="AL69" s="397"/>
      <c r="AM69" s="397"/>
      <c r="AN69" s="397"/>
      <c r="AO69" s="397"/>
      <c r="AP69" s="397"/>
      <c r="AQ69" s="397"/>
      <c r="AR69" s="397"/>
      <c r="AS69" s="397"/>
      <c r="AT69" s="397"/>
      <c r="AU69" s="397"/>
      <c r="AV69" s="397"/>
      <c r="AW69" s="397"/>
      <c r="AX69" s="397"/>
    </row>
    <row r="70" spans="2:50" x14ac:dyDescent="0.2">
      <c r="B70" s="393"/>
      <c r="C70" s="393"/>
      <c r="D70" s="393"/>
      <c r="E70" s="393"/>
      <c r="F70" s="393"/>
      <c r="G70" s="393"/>
      <c r="H70" s="393"/>
      <c r="I70" s="393"/>
      <c r="J70" s="393"/>
      <c r="K70" s="393"/>
      <c r="L70" s="393"/>
      <c r="M70" s="393"/>
      <c r="N70" s="393"/>
      <c r="O70" s="393"/>
      <c r="P70" s="396"/>
      <c r="Q70" s="393"/>
      <c r="S70" s="396"/>
      <c r="T70" s="396"/>
      <c r="U70" s="398"/>
      <c r="V70" s="399"/>
      <c r="W70" s="393"/>
      <c r="X70" s="393"/>
      <c r="Y70" s="393"/>
      <c r="Z70" s="393"/>
      <c r="AA70" s="397"/>
      <c r="AB70" s="397"/>
      <c r="AC70" s="397"/>
      <c r="AD70" s="397"/>
      <c r="AE70" s="397"/>
      <c r="AF70" s="397"/>
      <c r="AG70" s="397"/>
      <c r="AH70" s="397"/>
      <c r="AI70" s="397"/>
      <c r="AJ70" s="397"/>
      <c r="AK70" s="397"/>
      <c r="AL70" s="397"/>
      <c r="AM70" s="397"/>
      <c r="AN70" s="397"/>
      <c r="AO70" s="397"/>
      <c r="AP70" s="397"/>
      <c r="AQ70" s="397"/>
      <c r="AR70" s="397"/>
      <c r="AS70" s="397"/>
      <c r="AT70" s="397"/>
      <c r="AU70" s="397"/>
      <c r="AV70" s="397"/>
      <c r="AW70" s="397"/>
      <c r="AX70" s="397"/>
    </row>
    <row r="71" spans="2:50" x14ac:dyDescent="0.2">
      <c r="B71" s="393"/>
      <c r="C71" s="393"/>
      <c r="D71" s="393"/>
      <c r="E71" s="393"/>
      <c r="F71" s="393"/>
      <c r="G71" s="393"/>
      <c r="H71" s="393"/>
      <c r="I71" s="393"/>
      <c r="J71" s="393"/>
      <c r="K71" s="393"/>
      <c r="L71" s="393"/>
      <c r="M71" s="393"/>
      <c r="N71" s="393"/>
      <c r="O71" s="393"/>
      <c r="P71" s="396"/>
      <c r="Q71" s="393"/>
      <c r="S71" s="396"/>
      <c r="T71" s="396"/>
      <c r="U71" s="398"/>
      <c r="V71" s="399"/>
      <c r="W71" s="393"/>
      <c r="X71" s="393"/>
      <c r="Y71" s="393"/>
      <c r="Z71" s="393"/>
      <c r="AA71" s="397"/>
      <c r="AB71" s="397"/>
      <c r="AC71" s="397"/>
      <c r="AD71" s="397"/>
      <c r="AE71" s="397"/>
      <c r="AF71" s="397"/>
      <c r="AG71" s="397"/>
      <c r="AH71" s="397"/>
      <c r="AI71" s="397"/>
      <c r="AJ71" s="397"/>
      <c r="AK71" s="397"/>
      <c r="AL71" s="397"/>
      <c r="AM71" s="397"/>
      <c r="AN71" s="397"/>
      <c r="AO71" s="397"/>
      <c r="AP71" s="397"/>
      <c r="AQ71" s="397"/>
      <c r="AR71" s="397"/>
      <c r="AS71" s="397"/>
      <c r="AT71" s="397"/>
      <c r="AU71" s="397"/>
      <c r="AV71" s="397"/>
      <c r="AW71" s="397"/>
      <c r="AX71" s="397"/>
    </row>
    <row r="72" spans="2:50" x14ac:dyDescent="0.2">
      <c r="B72" s="393"/>
      <c r="C72" s="393"/>
      <c r="D72" s="393"/>
      <c r="E72" s="393"/>
      <c r="F72" s="393"/>
      <c r="G72" s="393"/>
      <c r="H72" s="393"/>
      <c r="I72" s="393"/>
      <c r="J72" s="393"/>
      <c r="K72" s="393"/>
      <c r="L72" s="393"/>
      <c r="M72" s="393"/>
      <c r="N72" s="393"/>
      <c r="O72" s="393"/>
      <c r="P72" s="396"/>
      <c r="Q72" s="393"/>
      <c r="S72" s="396"/>
      <c r="T72" s="396"/>
      <c r="U72" s="398"/>
      <c r="V72" s="399"/>
      <c r="W72" s="393"/>
      <c r="X72" s="393"/>
      <c r="Y72" s="393"/>
      <c r="Z72" s="393"/>
      <c r="AA72" s="397"/>
      <c r="AB72" s="397"/>
      <c r="AC72" s="397"/>
      <c r="AD72" s="397"/>
      <c r="AE72" s="397"/>
      <c r="AF72" s="397"/>
      <c r="AG72" s="397"/>
      <c r="AH72" s="397"/>
      <c r="AI72" s="397"/>
      <c r="AJ72" s="397"/>
      <c r="AK72" s="397"/>
      <c r="AL72" s="397"/>
      <c r="AM72" s="397"/>
      <c r="AN72" s="397"/>
      <c r="AO72" s="397"/>
      <c r="AP72" s="397"/>
      <c r="AQ72" s="397"/>
      <c r="AR72" s="397"/>
      <c r="AS72" s="397"/>
      <c r="AT72" s="397"/>
      <c r="AU72" s="397"/>
      <c r="AV72" s="397"/>
      <c r="AW72" s="397"/>
      <c r="AX72" s="397"/>
    </row>
    <row r="73" spans="2:50" x14ac:dyDescent="0.2">
      <c r="B73" s="393"/>
      <c r="C73" s="393"/>
      <c r="D73" s="393"/>
      <c r="E73" s="393"/>
      <c r="F73" s="393"/>
      <c r="G73" s="393"/>
      <c r="H73" s="393"/>
      <c r="I73" s="393"/>
      <c r="J73" s="393"/>
      <c r="K73" s="393"/>
      <c r="L73" s="393"/>
      <c r="M73" s="393"/>
      <c r="N73" s="393"/>
      <c r="O73" s="393"/>
      <c r="P73" s="396"/>
      <c r="Q73" s="393"/>
      <c r="S73" s="396"/>
      <c r="T73" s="396"/>
      <c r="U73" s="398"/>
      <c r="V73" s="399"/>
      <c r="W73" s="393"/>
      <c r="X73" s="393"/>
      <c r="Y73" s="393"/>
      <c r="Z73" s="393"/>
      <c r="AA73" s="397"/>
      <c r="AB73" s="397"/>
      <c r="AC73" s="397"/>
      <c r="AD73" s="397"/>
      <c r="AE73" s="397"/>
      <c r="AF73" s="397"/>
      <c r="AG73" s="397"/>
      <c r="AH73" s="397"/>
      <c r="AI73" s="397"/>
      <c r="AJ73" s="397"/>
      <c r="AK73" s="397"/>
      <c r="AL73" s="397"/>
      <c r="AM73" s="397"/>
      <c r="AN73" s="397"/>
      <c r="AO73" s="397"/>
      <c r="AP73" s="397"/>
      <c r="AQ73" s="397"/>
      <c r="AR73" s="397"/>
      <c r="AS73" s="397"/>
      <c r="AT73" s="397"/>
      <c r="AU73" s="397"/>
      <c r="AV73" s="397"/>
      <c r="AW73" s="397"/>
      <c r="AX73" s="397"/>
    </row>
    <row r="74" spans="2:50" x14ac:dyDescent="0.2">
      <c r="B74" s="393"/>
      <c r="C74" s="393"/>
      <c r="D74" s="393"/>
      <c r="E74" s="393"/>
      <c r="F74" s="393"/>
      <c r="G74" s="393"/>
      <c r="H74" s="393"/>
      <c r="I74" s="393"/>
      <c r="J74" s="393"/>
      <c r="K74" s="393"/>
      <c r="L74" s="393"/>
      <c r="M74" s="393"/>
      <c r="N74" s="393"/>
      <c r="O74" s="393"/>
      <c r="P74" s="396"/>
      <c r="Q74" s="393"/>
      <c r="S74" s="396"/>
      <c r="T74" s="396"/>
      <c r="U74" s="398"/>
      <c r="V74" s="399"/>
      <c r="W74" s="393"/>
      <c r="X74" s="393"/>
      <c r="Y74" s="393"/>
      <c r="Z74" s="393"/>
      <c r="AA74" s="397"/>
      <c r="AB74" s="397"/>
    </row>
  </sheetData>
  <protectedRanges>
    <protectedRange sqref="H9 E9 B9 Y9:Y28" name="Range1"/>
  </protectedRanges>
  <mergeCells count="16">
    <mergeCell ref="M4:N4"/>
    <mergeCell ref="J7:K7"/>
    <mergeCell ref="H12:H13"/>
    <mergeCell ref="I16:I17"/>
    <mergeCell ref="E12:E13"/>
    <mergeCell ref="H6:I6"/>
    <mergeCell ref="H7:I7"/>
    <mergeCell ref="H8:I8"/>
    <mergeCell ref="H9:I9"/>
    <mergeCell ref="H14:H15"/>
    <mergeCell ref="H16:H17"/>
    <mergeCell ref="S5:Z5"/>
    <mergeCell ref="B5:I5"/>
    <mergeCell ref="L7:L8"/>
    <mergeCell ref="I14:I15"/>
    <mergeCell ref="I12:I13"/>
  </mergeCells>
  <conditionalFormatting sqref="H12:I12">
    <cfRule type="expression" dxfId="976" priority="86">
      <formula>"($O$10:$O$22&gt;$N$10:$N$22"</formula>
    </cfRule>
  </conditionalFormatting>
  <conditionalFormatting sqref="M9:M28">
    <cfRule type="cellIs" dxfId="975" priority="24" operator="equal">
      <formula>$H$9</formula>
    </cfRule>
    <cfRule type="cellIs" dxfId="974" priority="51" operator="lessThan">
      <formula>$H$9</formula>
    </cfRule>
  </conditionalFormatting>
  <conditionalFormatting sqref="O9:O28">
    <cfRule type="cellIs" dxfId="973" priority="50" operator="greaterThan">
      <formula>0</formula>
    </cfRule>
  </conditionalFormatting>
  <conditionalFormatting sqref="P9:P28">
    <cfRule type="cellIs" dxfId="972" priority="2" operator="between">
      <formula>-0.7</formula>
      <formula>-0.999999</formula>
    </cfRule>
    <cfRule type="cellIs" dxfId="971" priority="6" operator="between">
      <formula>0.2</formula>
      <formula>0.899</formula>
    </cfRule>
    <cfRule type="cellIs" dxfId="970" priority="38" operator="equal">
      <formula>0</formula>
    </cfRule>
    <cfRule type="cellIs" dxfId="969" priority="39" operator="between">
      <formula>0.00001</formula>
      <formula>0.2</formula>
    </cfRule>
    <cfRule type="cellIs" dxfId="968" priority="45" operator="lessThanOrEqual">
      <formula>-1</formula>
    </cfRule>
    <cfRule type="cellIs" dxfId="967" priority="46" operator="between">
      <formula>-0.2</formula>
      <formula>-0.99</formula>
    </cfRule>
    <cfRule type="cellIs" dxfId="966" priority="47" operator="between">
      <formula>-0.2</formula>
      <formula>-0.00001</formula>
    </cfRule>
    <cfRule type="cellIs" dxfId="965" priority="48" operator="greaterThan">
      <formula>0.9</formula>
    </cfRule>
  </conditionalFormatting>
  <conditionalFormatting sqref="H14">
    <cfRule type="cellIs" dxfId="964" priority="25" operator="lessThan">
      <formula>$H$9</formula>
    </cfRule>
  </conditionalFormatting>
  <conditionalFormatting sqref="Q1:Q1048576">
    <cfRule type="cellIs" dxfId="963" priority="17" operator="equal">
      <formula>0</formula>
    </cfRule>
  </conditionalFormatting>
  <conditionalFormatting sqref="E12">
    <cfRule type="expression" dxfId="962" priority="15">
      <formula>"($O$10:$O$22&gt;$N$10:$N$22"</formula>
    </cfRule>
  </conditionalFormatting>
  <conditionalFormatting sqref="T9:U28">
    <cfRule type="cellIs" dxfId="961" priority="8" operator="equal">
      <formula>0</formula>
    </cfRule>
  </conditionalFormatting>
  <conditionalFormatting sqref="X9:X28">
    <cfRule type="cellIs" dxfId="960" priority="7" operator="equal">
      <formula>0</formula>
    </cfRule>
  </conditionalFormatting>
  <conditionalFormatting sqref="Y9:Y27">
    <cfRule type="cellIs" dxfId="959" priority="5" operator="equal">
      <formula>0</formula>
    </cfRule>
  </conditionalFormatting>
  <conditionalFormatting sqref="Q7:Q28">
    <cfRule type="cellIs" dxfId="958" priority="1" operator="equal">
      <formula>"Innovatieve optie, nog geen MKI beschikbaar"</formula>
    </cfRule>
  </conditionalFormatting>
  <dataValidations count="2">
    <dataValidation type="list" allowBlank="1" showInputMessage="1" showErrorMessage="1" sqref="B9" xr:uid="{00000000-0002-0000-0100-000000000000}">
      <formula1>Objectenvariantenlijst</formula1>
    </dataValidation>
    <dataValidation type="whole" allowBlank="1" showInputMessage="1" showErrorMessage="1" errorTitle="Functionele Levensduur" error="De minimale levensduur is 1 jaar. De maximale levensduur mag niet hoger dan 100 jaar zijn." sqref="H9:I9" xr:uid="{00000000-0002-0000-0100-000001000000}">
      <formula1>1</formula1>
      <formula2>100</formula2>
    </dataValidation>
  </dataValidations>
  <hyperlinks>
    <hyperlink ref="P8" location="'Toelichting Kleurcode'!A1" display="(Kleurcode, zie toelichting)" xr:uid="{00000000-0004-0000-0100-000000000000}"/>
  </hyperlinks>
  <pageMargins left="0.23622047244094491" right="0.23622047244094491" top="0.74803149606299213" bottom="0.74803149606299213" header="0.31496062992125984" footer="0.31496062992125984"/>
  <pageSetup paperSize="9" scale="53" orientation="landscape" horizontalDpi="300" verticalDpi="300" r:id="rId1"/>
  <headerFooter>
    <oddFooter>&amp;L&amp;"Arial,Cursief"&amp;F&amp;C&amp;"Arial,Cursief"&amp;P / &amp;N&amp;R&amp;"Arial,Cursief"Afdrukdatum: &amp;D</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OFFSET('Keuzemenu Functie'!$F$4,MATCH(AD11,'Keuzemenu Functie'!F5:F74,0),2,COUNTIF('Keuzemenu Functie'!F5:F74,AD11),)</xm:f>
          </x14:formula1>
          <xm:sqref>E9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Right="0"/>
  </sheetPr>
  <dimension ref="A1:Z497"/>
  <sheetViews>
    <sheetView topLeftCell="H1" zoomScaleNormal="100" workbookViewId="0">
      <pane ySplit="4" topLeftCell="A10" activePane="bottomLeft" state="frozen"/>
      <selection activeCell="G1" sqref="G1"/>
      <selection pane="bottomLeft" activeCell="M20" sqref="M20"/>
    </sheetView>
  </sheetViews>
  <sheetFormatPr defaultColWidth="8.7109375" defaultRowHeight="12.75" x14ac:dyDescent="0.2"/>
  <cols>
    <col min="1" max="1" width="15" style="186" bestFit="1" customWidth="1"/>
    <col min="2" max="2" width="19.42578125" style="186" customWidth="1"/>
    <col min="3" max="4" width="7.5703125" style="186" customWidth="1"/>
    <col min="5" max="5" width="22" style="186" customWidth="1"/>
    <col min="6" max="6" width="6.42578125" style="186" customWidth="1"/>
    <col min="7" max="7" width="9.28515625" style="186" customWidth="1"/>
    <col min="8" max="8" width="40" style="186" bestFit="1" customWidth="1"/>
    <col min="9" max="9" width="7.5703125" style="186" customWidth="1"/>
    <col min="10" max="10" width="8.7109375" style="238" customWidth="1"/>
    <col min="11" max="11" width="13.5703125" style="298" customWidth="1"/>
    <col min="12" max="12" width="13.5703125" style="290" customWidth="1"/>
    <col min="13" max="15" width="14.7109375" style="350" customWidth="1"/>
    <col min="16" max="18" width="13.28515625" style="239" customWidth="1"/>
    <col min="19" max="19" width="14" style="368" customWidth="1"/>
    <col min="20" max="20" width="8.7109375" style="369" customWidth="1"/>
    <col min="21" max="21" width="10.28515625" style="240" customWidth="1"/>
    <col min="22" max="22" width="32" style="236" customWidth="1"/>
    <col min="23" max="23" width="40" style="237" customWidth="1"/>
    <col min="24" max="24" width="33.42578125" style="237" customWidth="1"/>
    <col min="25" max="25" width="67.42578125" style="237" bestFit="1" customWidth="1"/>
    <col min="26" max="16384" width="8.7109375" style="185"/>
  </cols>
  <sheetData>
    <row r="1" spans="1:25" ht="27.6" customHeight="1" x14ac:dyDescent="0.2">
      <c r="A1" s="175" t="s">
        <v>358</v>
      </c>
      <c r="B1" s="176" t="s">
        <v>296</v>
      </c>
      <c r="C1" s="177"/>
      <c r="D1" s="177"/>
      <c r="E1" s="178"/>
      <c r="F1" s="178"/>
      <c r="G1" s="178"/>
      <c r="H1" s="179"/>
      <c r="I1" s="178"/>
      <c r="J1" s="180"/>
      <c r="K1" s="293"/>
      <c r="L1" s="287"/>
      <c r="M1" s="341"/>
      <c r="N1" s="341"/>
      <c r="O1" s="341"/>
      <c r="P1" s="281"/>
      <c r="Q1" s="181"/>
      <c r="R1" s="311"/>
      <c r="S1" s="351"/>
      <c r="T1" s="352"/>
      <c r="U1" s="182"/>
      <c r="V1" s="183"/>
      <c r="W1" s="184"/>
      <c r="X1" s="184"/>
      <c r="Y1" s="184"/>
    </row>
    <row r="2" spans="1:25" ht="20.25" x14ac:dyDescent="0.2">
      <c r="A2" s="178"/>
      <c r="C2" s="176"/>
      <c r="D2" s="176"/>
      <c r="E2" s="187" t="s">
        <v>297</v>
      </c>
      <c r="F2" s="178"/>
      <c r="G2" s="178"/>
      <c r="H2" s="188"/>
      <c r="I2" s="178"/>
      <c r="J2" s="188"/>
      <c r="K2" s="293"/>
      <c r="L2" s="288"/>
      <c r="M2" s="342"/>
      <c r="N2" s="342"/>
      <c r="O2" s="342"/>
      <c r="P2" s="189"/>
      <c r="Q2" s="189"/>
      <c r="R2" s="189"/>
      <c r="S2" s="353"/>
      <c r="T2" s="354"/>
      <c r="U2" s="190"/>
      <c r="V2" s="191"/>
      <c r="W2" s="192"/>
      <c r="X2" s="192"/>
      <c r="Y2" s="192"/>
    </row>
    <row r="3" spans="1:25" s="251" customFormat="1" ht="44.65" customHeight="1" x14ac:dyDescent="0.2">
      <c r="A3" s="244"/>
      <c r="B3" s="245" t="s">
        <v>144</v>
      </c>
      <c r="C3" s="245"/>
      <c r="D3" s="245"/>
      <c r="E3" s="246" t="s">
        <v>51</v>
      </c>
      <c r="F3" s="246"/>
      <c r="G3" s="244"/>
      <c r="H3" s="247" t="s">
        <v>52</v>
      </c>
      <c r="I3" s="246" t="s">
        <v>183</v>
      </c>
      <c r="J3" s="245" t="s">
        <v>27</v>
      </c>
      <c r="K3" s="294" t="s">
        <v>239</v>
      </c>
      <c r="L3" s="289" t="s">
        <v>339</v>
      </c>
      <c r="M3" s="340" t="s">
        <v>394</v>
      </c>
      <c r="N3" s="340" t="s">
        <v>410</v>
      </c>
      <c r="O3" s="340" t="s">
        <v>338</v>
      </c>
      <c r="P3" s="248" t="s">
        <v>223</v>
      </c>
      <c r="Q3" s="248" t="s">
        <v>219</v>
      </c>
      <c r="R3" s="248" t="s">
        <v>389</v>
      </c>
      <c r="S3" s="246" t="s">
        <v>228</v>
      </c>
      <c r="T3" s="249" t="s">
        <v>304</v>
      </c>
      <c r="U3" s="249" t="s">
        <v>222</v>
      </c>
      <c r="V3" s="250" t="s">
        <v>278</v>
      </c>
      <c r="W3" s="250" t="s">
        <v>158</v>
      </c>
      <c r="X3" s="250" t="s">
        <v>330</v>
      </c>
      <c r="Y3" s="250" t="s">
        <v>224</v>
      </c>
    </row>
    <row r="4" spans="1:25" x14ac:dyDescent="0.2">
      <c r="A4" s="178" t="s">
        <v>157</v>
      </c>
      <c r="B4" s="178"/>
      <c r="C4" s="178">
        <v>0</v>
      </c>
      <c r="D4" s="178" t="s">
        <v>157</v>
      </c>
      <c r="E4" s="178"/>
      <c r="F4" s="178">
        <v>0</v>
      </c>
      <c r="G4" s="193" t="s">
        <v>157</v>
      </c>
      <c r="H4" s="194"/>
      <c r="I4" s="178" t="s">
        <v>183</v>
      </c>
      <c r="J4" s="188"/>
      <c r="K4" s="338" t="s">
        <v>225</v>
      </c>
      <c r="M4" s="342"/>
      <c r="N4" s="342"/>
      <c r="O4" s="342"/>
      <c r="P4" s="195" t="s">
        <v>137</v>
      </c>
      <c r="Q4" s="195" t="s">
        <v>137</v>
      </c>
      <c r="R4" s="195"/>
      <c r="S4" s="353" t="s">
        <v>226</v>
      </c>
      <c r="T4" s="354" t="s">
        <v>145</v>
      </c>
      <c r="U4" s="190" t="s">
        <v>145</v>
      </c>
      <c r="V4" s="174"/>
      <c r="W4" s="140"/>
      <c r="X4" s="140"/>
      <c r="Y4" s="140" t="s">
        <v>235</v>
      </c>
    </row>
    <row r="5" spans="1:25" s="330" customFormat="1" ht="14.25" customHeight="1" x14ac:dyDescent="0.2">
      <c r="A5" s="316">
        <f t="shared" ref="A5:A82" si="0">C5</f>
        <v>1</v>
      </c>
      <c r="B5" s="317" t="s">
        <v>177</v>
      </c>
      <c r="C5" s="318">
        <f t="shared" ref="C5:C17" si="1">IF(B5=B4,C4,C4+1)</f>
        <v>1</v>
      </c>
      <c r="D5" s="319">
        <f t="shared" ref="D5:D50" si="2">F5</f>
        <v>1</v>
      </c>
      <c r="E5" s="320" t="s">
        <v>220</v>
      </c>
      <c r="F5" s="321">
        <f t="shared" ref="F5:F17" si="3">IF(E5=E4,F4,F4+1)</f>
        <v>1</v>
      </c>
      <c r="G5" s="322"/>
      <c r="H5" s="320" t="s">
        <v>12</v>
      </c>
      <c r="I5" s="321">
        <v>1</v>
      </c>
      <c r="J5" s="323" t="s">
        <v>49</v>
      </c>
      <c r="K5" s="324">
        <f t="shared" ref="K5:K19" si="4">1-(N5/AVERAGE($N$5:$N$19))</f>
        <v>0.43856308421972479</v>
      </c>
      <c r="L5" s="325">
        <f>IF(K5&gt;-1,1-(O5/AVERAGE($O$5:$O$19)),1-(O5/AVERAGE($N$5:$N$19)))</f>
        <v>0.42114143562119966</v>
      </c>
      <c r="M5" s="343">
        <f>T5/'MKI-waarden'!$N$33*'MKI-waarden'!$D$33</f>
        <v>2.003916666666667</v>
      </c>
      <c r="N5" s="343">
        <f>IFERROR(IF(Q5&lt;P5,M5/Q5,M5/P5),"")</f>
        <v>0.20039166666666669</v>
      </c>
      <c r="O5" s="343">
        <f t="shared" ref="O5:O19" si="5">IF(K5&lt;-1,(2*AVERAGE($N$5:$N$19)),N5)</f>
        <v>0.20039166666666669</v>
      </c>
      <c r="P5" s="326">
        <v>10</v>
      </c>
      <c r="Q5" s="326">
        <f>'Invoer en resultaat'!$H$9</f>
        <v>100</v>
      </c>
      <c r="R5" s="326">
        <f>Q5-P5</f>
        <v>90</v>
      </c>
      <c r="S5" s="355">
        <f t="shared" ref="S5:S56" si="6">IF(Q5&lt;P5,0,ROUNDDOWN(Q5/P5-0.01,0))</f>
        <v>9</v>
      </c>
      <c r="T5" s="356">
        <v>0.1</v>
      </c>
      <c r="U5" s="327">
        <v>0</v>
      </c>
      <c r="V5" s="328"/>
      <c r="W5" s="329" t="s">
        <v>331</v>
      </c>
      <c r="X5" s="329"/>
      <c r="Y5" s="329" t="str">
        <f>'MKI-waarden'!$A$33</f>
        <v>Damwanden, Europees naaldhout, damwandplanken</v>
      </c>
    </row>
    <row r="6" spans="1:25" s="205" customFormat="1" ht="14.25" customHeight="1" x14ac:dyDescent="0.2">
      <c r="A6" s="196">
        <f t="shared" si="0"/>
        <v>1</v>
      </c>
      <c r="B6" s="197" t="s">
        <v>177</v>
      </c>
      <c r="C6" s="198">
        <f t="shared" si="1"/>
        <v>1</v>
      </c>
      <c r="D6" s="199">
        <f t="shared" si="2"/>
        <v>1</v>
      </c>
      <c r="E6" s="175" t="s">
        <v>220</v>
      </c>
      <c r="F6" s="200">
        <f t="shared" si="3"/>
        <v>1</v>
      </c>
      <c r="G6" s="201"/>
      <c r="H6" s="175" t="s">
        <v>13</v>
      </c>
      <c r="I6" s="321">
        <v>2</v>
      </c>
      <c r="J6" s="202" t="s">
        <v>49</v>
      </c>
      <c r="K6" s="292">
        <f t="shared" si="4"/>
        <v>9.0963427471344005E-2</v>
      </c>
      <c r="L6" s="331">
        <f>IF(K6&gt;-1,1-(O6/AVERAGE($O$5:$O$19)),1-(O6/AVERAGE($N$5:$N$19)))</f>
        <v>6.2755599869213419E-2</v>
      </c>
      <c r="M6" s="344">
        <f>T6/'MKI-waarden'!$N$29*'MKI-waarden'!$D$29</f>
        <v>6.4891833333333322</v>
      </c>
      <c r="N6" s="344">
        <f t="shared" ref="N6:N80" si="7">IFERROR(IF(Q6&lt;P6,M6/Q6,M6/P6),"")</f>
        <v>0.32445916666666663</v>
      </c>
      <c r="O6" s="344">
        <f t="shared" si="5"/>
        <v>0.32445916666666663</v>
      </c>
      <c r="P6" s="203">
        <v>20</v>
      </c>
      <c r="Q6" s="203">
        <f>'Invoer en resultaat'!$H$9</f>
        <v>100</v>
      </c>
      <c r="R6" s="203">
        <f t="shared" ref="R6:R80" si="8">Q6-P6</f>
        <v>80</v>
      </c>
      <c r="S6" s="357">
        <f t="shared" si="6"/>
        <v>4</v>
      </c>
      <c r="T6" s="354">
        <v>0.1</v>
      </c>
      <c r="U6" s="190">
        <v>0</v>
      </c>
      <c r="V6" s="174"/>
      <c r="W6" s="140" t="s">
        <v>331</v>
      </c>
      <c r="X6" s="140"/>
      <c r="Y6" s="140" t="str">
        <f>'MKI-waarden'!$A$29</f>
        <v>Damwand, tropisch hardhout, damwandplanken</v>
      </c>
    </row>
    <row r="7" spans="1:25" s="205" customFormat="1" ht="14.25" customHeight="1" x14ac:dyDescent="0.2">
      <c r="A7" s="196">
        <f t="shared" si="0"/>
        <v>1</v>
      </c>
      <c r="B7" s="197" t="s">
        <v>177</v>
      </c>
      <c r="C7" s="198">
        <f t="shared" si="1"/>
        <v>1</v>
      </c>
      <c r="D7" s="199">
        <f t="shared" si="2"/>
        <v>1</v>
      </c>
      <c r="E7" s="175" t="s">
        <v>220</v>
      </c>
      <c r="F7" s="200">
        <f t="shared" si="3"/>
        <v>1</v>
      </c>
      <c r="G7" s="201"/>
      <c r="H7" s="175" t="s">
        <v>109</v>
      </c>
      <c r="I7" s="321">
        <v>3</v>
      </c>
      <c r="J7" s="202" t="s">
        <v>49</v>
      </c>
      <c r="K7" s="292">
        <f t="shared" si="4"/>
        <v>0.61476653593485509</v>
      </c>
      <c r="L7" s="292">
        <f>IF(K7&gt;-1,1-(O7/AVERAGE($O$5:$O$19)),1-(O7/AVERAGE($N$5:$N$19)))</f>
        <v>0.60281256238823122</v>
      </c>
      <c r="M7" s="344">
        <f>T7/'MKI-waarden'!N40*'MKI-waarden'!E40</f>
        <v>2.7500000000000004</v>
      </c>
      <c r="N7" s="344">
        <f t="shared" si="7"/>
        <v>0.13750000000000001</v>
      </c>
      <c r="O7" s="344">
        <f t="shared" si="5"/>
        <v>0.13750000000000001</v>
      </c>
      <c r="P7" s="206">
        <v>20</v>
      </c>
      <c r="Q7" s="203">
        <f>'Invoer en resultaat'!$H$9</f>
        <v>100</v>
      </c>
      <c r="R7" s="203">
        <f t="shared" si="8"/>
        <v>80</v>
      </c>
      <c r="S7" s="357">
        <f t="shared" si="6"/>
        <v>4</v>
      </c>
      <c r="T7" s="354">
        <v>0.1</v>
      </c>
      <c r="U7" s="190">
        <v>0</v>
      </c>
      <c r="V7" s="174"/>
      <c r="W7" s="140"/>
      <c r="X7" s="140"/>
      <c r="Y7" s="140" t="str">
        <f>'MKI-waarden'!$A$40</f>
        <v>Damwand Twinwood 80% EU naaldhout, 20% azobe hardhout</v>
      </c>
    </row>
    <row r="8" spans="1:25" s="205" customFormat="1" ht="14.25" customHeight="1" x14ac:dyDescent="0.2">
      <c r="A8" s="196">
        <f t="shared" si="0"/>
        <v>1</v>
      </c>
      <c r="B8" s="197" t="s">
        <v>177</v>
      </c>
      <c r="C8" s="198">
        <f t="shared" si="1"/>
        <v>1</v>
      </c>
      <c r="D8" s="199">
        <f t="shared" si="2"/>
        <v>1</v>
      </c>
      <c r="E8" s="175" t="s">
        <v>220</v>
      </c>
      <c r="F8" s="200">
        <f t="shared" si="3"/>
        <v>1</v>
      </c>
      <c r="G8" s="201"/>
      <c r="H8" s="175" t="s">
        <v>110</v>
      </c>
      <c r="I8" s="321">
        <v>4</v>
      </c>
      <c r="J8" s="202" t="s">
        <v>49</v>
      </c>
      <c r="K8" s="292">
        <f t="shared" si="4"/>
        <v>0.84824025085611443</v>
      </c>
      <c r="L8" s="331">
        <f>IF(K8&gt;-1,1-(O8/AVERAGE($O$5:$O$19)),1-(O8/AVERAGE($N$5:$N$19)))</f>
        <v>0.8435310752627877</v>
      </c>
      <c r="M8" s="342">
        <f>T8/'MKI-waarden'!$N$25*'MKI-waarden'!$D$25</f>
        <v>2.1666825396825398</v>
      </c>
      <c r="N8" s="342">
        <f t="shared" si="7"/>
        <v>5.4167063492063496E-2</v>
      </c>
      <c r="O8" s="342">
        <f t="shared" si="5"/>
        <v>5.4167063492063496E-2</v>
      </c>
      <c r="P8" s="203">
        <v>40</v>
      </c>
      <c r="Q8" s="203">
        <f>'Invoer en resultaat'!$H$9</f>
        <v>100</v>
      </c>
      <c r="R8" s="203">
        <f t="shared" si="8"/>
        <v>60</v>
      </c>
      <c r="S8" s="357">
        <f t="shared" si="6"/>
        <v>2</v>
      </c>
      <c r="T8" s="354">
        <v>0.1</v>
      </c>
      <c r="U8" s="190">
        <v>0</v>
      </c>
      <c r="V8" s="466" t="s">
        <v>538</v>
      </c>
      <c r="W8" s="207"/>
      <c r="X8" s="207"/>
      <c r="Y8" s="207" t="str">
        <f>'MKI-waarden'!$A$25</f>
        <v>Combi-plank gerecycled kunststof en Europees naaldhout</v>
      </c>
    </row>
    <row r="9" spans="1:25" s="205" customFormat="1" ht="14.25" customHeight="1" x14ac:dyDescent="0.2">
      <c r="A9" s="196">
        <f t="shared" si="0"/>
        <v>1</v>
      </c>
      <c r="B9" s="197" t="s">
        <v>177</v>
      </c>
      <c r="C9" s="198">
        <f t="shared" si="1"/>
        <v>1</v>
      </c>
      <c r="D9" s="199">
        <f t="shared" si="2"/>
        <v>1</v>
      </c>
      <c r="E9" s="175" t="s">
        <v>220</v>
      </c>
      <c r="F9" s="200">
        <f t="shared" si="3"/>
        <v>1</v>
      </c>
      <c r="G9" s="201"/>
      <c r="H9" s="175" t="s">
        <v>111</v>
      </c>
      <c r="I9" s="321">
        <v>5</v>
      </c>
      <c r="J9" s="202" t="s">
        <v>49</v>
      </c>
      <c r="K9" s="292">
        <f t="shared" si="4"/>
        <v>-1.4514483244422856</v>
      </c>
      <c r="L9" s="331">
        <f>1-(O9/AVERAGE($N$5:$N$19))</f>
        <v>-1</v>
      </c>
      <c r="M9" s="342">
        <f>T9/'MKI-waarden'!N42*'MKI-waarden'!D42</f>
        <v>26.249599999999997</v>
      </c>
      <c r="N9" s="342">
        <f t="shared" si="7"/>
        <v>0.87498666666666658</v>
      </c>
      <c r="O9" s="342">
        <f t="shared" si="5"/>
        <v>0.71385283380650466</v>
      </c>
      <c r="P9" s="203">
        <v>30</v>
      </c>
      <c r="Q9" s="203">
        <f>'Invoer en resultaat'!$H$9</f>
        <v>100</v>
      </c>
      <c r="R9" s="203">
        <f t="shared" si="8"/>
        <v>70</v>
      </c>
      <c r="S9" s="357">
        <f t="shared" si="6"/>
        <v>3</v>
      </c>
      <c r="T9" s="354">
        <v>0.04</v>
      </c>
      <c r="U9" s="190">
        <v>0</v>
      </c>
      <c r="W9" s="140"/>
      <c r="X9" s="184"/>
      <c r="Y9" s="207" t="str">
        <f>'MKI-waarden'!$A$42</f>
        <v>Damwand PCV nieuw</v>
      </c>
    </row>
    <row r="10" spans="1:25" s="205" customFormat="1" ht="14.25" customHeight="1" x14ac:dyDescent="0.2">
      <c r="A10" s="196">
        <f t="shared" si="0"/>
        <v>1</v>
      </c>
      <c r="B10" s="197" t="s">
        <v>177</v>
      </c>
      <c r="C10" s="198">
        <f t="shared" si="1"/>
        <v>1</v>
      </c>
      <c r="D10" s="199">
        <f t="shared" si="2"/>
        <v>1</v>
      </c>
      <c r="E10" s="175" t="s">
        <v>220</v>
      </c>
      <c r="F10" s="200">
        <f t="shared" si="3"/>
        <v>1</v>
      </c>
      <c r="G10" s="201"/>
      <c r="H10" s="175" t="s">
        <v>112</v>
      </c>
      <c r="I10" s="321">
        <v>6</v>
      </c>
      <c r="J10" s="202" t="s">
        <v>49</v>
      </c>
      <c r="K10" s="292">
        <f t="shared" si="4"/>
        <v>-0.79219082619314851</v>
      </c>
      <c r="L10" s="331">
        <f t="shared" ref="L10:L19" si="9">IF(K10&gt;-1,1-(O10/AVERAGE($O$5:$O$19)),1-(O10/AVERAGE($N$5:$N$19)))</f>
        <v>-0.8478033410062229</v>
      </c>
      <c r="M10" s="342">
        <f>T10/'MKI-waarden'!N41*'MKI-waarden'!D41</f>
        <v>19.190407499999999</v>
      </c>
      <c r="N10" s="342">
        <f t="shared" si="7"/>
        <v>0.63968024999999995</v>
      </c>
      <c r="O10" s="342">
        <f t="shared" si="5"/>
        <v>0.63968024999999995</v>
      </c>
      <c r="P10" s="203">
        <v>30</v>
      </c>
      <c r="Q10" s="203">
        <f>'Invoer en resultaat'!$H$9</f>
        <v>100</v>
      </c>
      <c r="R10" s="203">
        <f t="shared" si="8"/>
        <v>70</v>
      </c>
      <c r="S10" s="357">
        <f t="shared" si="6"/>
        <v>3</v>
      </c>
      <c r="T10" s="354">
        <v>0.04</v>
      </c>
      <c r="U10" s="190">
        <v>0</v>
      </c>
      <c r="W10" s="140"/>
      <c r="X10" s="184"/>
      <c r="Y10" s="207" t="str">
        <f>'MKI-waarden'!$A$41</f>
        <v>Damwand PVC Gerecycled, enkel scherm (ProLock, Omega)</v>
      </c>
    </row>
    <row r="11" spans="1:25" s="205" customFormat="1" ht="14.25" customHeight="1" x14ac:dyDescent="0.2">
      <c r="A11" s="196">
        <f t="shared" si="0"/>
        <v>1</v>
      </c>
      <c r="B11" s="197" t="s">
        <v>177</v>
      </c>
      <c r="C11" s="198">
        <f t="shared" si="1"/>
        <v>1</v>
      </c>
      <c r="D11" s="199">
        <f t="shared" si="2"/>
        <v>1</v>
      </c>
      <c r="E11" s="175" t="s">
        <v>220</v>
      </c>
      <c r="F11" s="200">
        <f t="shared" si="3"/>
        <v>1</v>
      </c>
      <c r="G11" s="201"/>
      <c r="H11" s="175" t="s">
        <v>113</v>
      </c>
      <c r="I11" s="321">
        <v>7</v>
      </c>
      <c r="J11" s="202" t="s">
        <v>49</v>
      </c>
      <c r="K11" s="295">
        <f t="shared" si="4"/>
        <v>-0.7539049236853943</v>
      </c>
      <c r="L11" s="331">
        <f t="shared" si="9"/>
        <v>-0.80832940913841056</v>
      </c>
      <c r="M11" s="342">
        <f>T11/'MKI-waarden'!$N$43*'MKI-waarden'!$D$43</f>
        <v>31.300750000000001</v>
      </c>
      <c r="N11" s="342">
        <f t="shared" si="7"/>
        <v>0.62601499999999999</v>
      </c>
      <c r="O11" s="342">
        <f t="shared" si="5"/>
        <v>0.62601499999999999</v>
      </c>
      <c r="P11" s="203">
        <v>50</v>
      </c>
      <c r="Q11" s="203">
        <f>'Invoer en resultaat'!$H$9</f>
        <v>100</v>
      </c>
      <c r="R11" s="203">
        <f t="shared" si="8"/>
        <v>50</v>
      </c>
      <c r="S11" s="357">
        <f t="shared" si="6"/>
        <v>1</v>
      </c>
      <c r="T11" s="354">
        <v>0.05</v>
      </c>
      <c r="U11" s="190">
        <v>0</v>
      </c>
      <c r="W11" s="140"/>
      <c r="X11" s="184"/>
      <c r="Y11" s="207" t="str">
        <f>'MKI-waarden'!$A$43</f>
        <v>Damwand PE nieuw</v>
      </c>
    </row>
    <row r="12" spans="1:25" s="205" customFormat="1" ht="14.25" customHeight="1" x14ac:dyDescent="0.2">
      <c r="A12" s="196">
        <f t="shared" si="0"/>
        <v>1</v>
      </c>
      <c r="B12" s="197" t="s">
        <v>177</v>
      </c>
      <c r="C12" s="198">
        <f t="shared" si="1"/>
        <v>1</v>
      </c>
      <c r="D12" s="199">
        <f t="shared" si="2"/>
        <v>1</v>
      </c>
      <c r="E12" s="175" t="s">
        <v>220</v>
      </c>
      <c r="F12" s="200">
        <f t="shared" si="3"/>
        <v>1</v>
      </c>
      <c r="G12" s="201"/>
      <c r="H12" s="175" t="s">
        <v>114</v>
      </c>
      <c r="I12" s="321">
        <v>8</v>
      </c>
      <c r="J12" s="202" t="s">
        <v>49</v>
      </c>
      <c r="K12" s="295">
        <f t="shared" si="4"/>
        <v>-0.34414311964486144</v>
      </c>
      <c r="L12" s="331">
        <f t="shared" si="9"/>
        <v>-0.38585250575466734</v>
      </c>
      <c r="M12" s="342">
        <f>T12/'MKI-waarden'!N44*'MKI-waarden'!D44</f>
        <v>23.988009375000001</v>
      </c>
      <c r="N12" s="342">
        <f t="shared" si="7"/>
        <v>0.47976018749999999</v>
      </c>
      <c r="O12" s="342">
        <f t="shared" si="5"/>
        <v>0.47976018749999999</v>
      </c>
      <c r="P12" s="203">
        <v>50</v>
      </c>
      <c r="Q12" s="203">
        <f>'Invoer en resultaat'!$H$9</f>
        <v>100</v>
      </c>
      <c r="R12" s="203">
        <f t="shared" si="8"/>
        <v>50</v>
      </c>
      <c r="S12" s="357">
        <f t="shared" si="6"/>
        <v>1</v>
      </c>
      <c r="T12" s="354">
        <v>0.05</v>
      </c>
      <c r="U12" s="190">
        <v>0</v>
      </c>
      <c r="W12" s="140"/>
      <c r="X12" s="184"/>
      <c r="Y12" s="207" t="str">
        <f>'MKI-waarden'!$A$44</f>
        <v>Damwand PE gerecycled</v>
      </c>
    </row>
    <row r="13" spans="1:25" s="205" customFormat="1" ht="14.25" customHeight="1" x14ac:dyDescent="0.2">
      <c r="A13" s="196">
        <f t="shared" si="0"/>
        <v>1</v>
      </c>
      <c r="B13" s="197" t="s">
        <v>177</v>
      </c>
      <c r="C13" s="198">
        <f t="shared" si="1"/>
        <v>1</v>
      </c>
      <c r="D13" s="199">
        <f t="shared" si="2"/>
        <v>1</v>
      </c>
      <c r="E13" s="175" t="s">
        <v>220</v>
      </c>
      <c r="F13" s="200">
        <f t="shared" si="3"/>
        <v>1</v>
      </c>
      <c r="G13" s="201"/>
      <c r="H13" s="205" t="s">
        <v>660</v>
      </c>
      <c r="I13" s="321">
        <v>9</v>
      </c>
      <c r="J13" s="202" t="s">
        <v>49</v>
      </c>
      <c r="K13" s="292">
        <f t="shared" si="4"/>
        <v>-0.22558719032280861</v>
      </c>
      <c r="L13" s="331">
        <f t="shared" si="9"/>
        <v>-0.26361773081012818</v>
      </c>
      <c r="M13" s="342">
        <f>T13/'MKI-waarden'!$N$38*'MKI-waarden'!$D$38</f>
        <v>26.246666666666666</v>
      </c>
      <c r="N13" s="342">
        <f t="shared" si="7"/>
        <v>0.43744444444444441</v>
      </c>
      <c r="O13" s="342">
        <f t="shared" si="5"/>
        <v>0.43744444444444441</v>
      </c>
      <c r="P13" s="203">
        <v>60</v>
      </c>
      <c r="Q13" s="203">
        <f>'Invoer en resultaat'!$H$9</f>
        <v>100</v>
      </c>
      <c r="R13" s="203">
        <f t="shared" si="8"/>
        <v>40</v>
      </c>
      <c r="S13" s="357">
        <f t="shared" si="6"/>
        <v>1</v>
      </c>
      <c r="T13" s="354">
        <v>0.04</v>
      </c>
      <c r="U13" s="190"/>
      <c r="W13" s="140"/>
      <c r="X13" s="184"/>
      <c r="Y13" s="207" t="str">
        <f>'MKI-waarden'!$A$38</f>
        <v>Damwand, kunststof vezelversterkt</v>
      </c>
    </row>
    <row r="14" spans="1:25" s="205" customFormat="1" ht="14.25" customHeight="1" x14ac:dyDescent="0.2">
      <c r="A14" s="196">
        <f t="shared" ref="A14" si="10">C14</f>
        <v>1</v>
      </c>
      <c r="B14" s="197" t="s">
        <v>177</v>
      </c>
      <c r="C14" s="198">
        <f t="shared" ref="C14" si="11">IF(B14=B13,C13,C13+1)</f>
        <v>1</v>
      </c>
      <c r="D14" s="199">
        <f t="shared" ref="D14" si="12">F14</f>
        <v>1</v>
      </c>
      <c r="E14" s="175" t="s">
        <v>220</v>
      </c>
      <c r="F14" s="200">
        <f t="shared" ref="F14" si="13">IF(E14=E13,F13,F13+1)</f>
        <v>1</v>
      </c>
      <c r="G14" s="201"/>
      <c r="H14" s="205" t="s">
        <v>658</v>
      </c>
      <c r="I14" s="321">
        <v>10</v>
      </c>
      <c r="J14" s="202" t="s">
        <v>49</v>
      </c>
      <c r="K14" s="292">
        <f t="shared" si="4"/>
        <v>-9.4626552786749585E-2</v>
      </c>
      <c r="L14" s="331">
        <f t="shared" si="9"/>
        <v>-0.12859332378676869</v>
      </c>
      <c r="M14" s="342">
        <f>T14/'MKI-waarden'!$N$126*'MKI-waarden'!$D$126</f>
        <v>23.442067999999999</v>
      </c>
      <c r="N14" s="342">
        <f t="shared" si="7"/>
        <v>0.39070113333333334</v>
      </c>
      <c r="O14" s="342">
        <f t="shared" si="5"/>
        <v>0.39070113333333334</v>
      </c>
      <c r="P14" s="203">
        <v>60</v>
      </c>
      <c r="Q14" s="203">
        <f>'Invoer en resultaat'!$H$9</f>
        <v>100</v>
      </c>
      <c r="R14" s="203">
        <f t="shared" si="8"/>
        <v>40</v>
      </c>
      <c r="S14" s="357">
        <f t="shared" si="6"/>
        <v>1</v>
      </c>
      <c r="T14" s="354">
        <v>0.04</v>
      </c>
      <c r="U14" s="190"/>
      <c r="W14" s="140"/>
      <c r="X14" s="184"/>
      <c r="Y14" s="207" t="str">
        <f>'MKI-waarden'!$A$128</f>
        <v>GVK, glasvezels in polyester, biobased hars</v>
      </c>
    </row>
    <row r="15" spans="1:25" s="205" customFormat="1" ht="14.25" customHeight="1" x14ac:dyDescent="0.2">
      <c r="A15" s="196">
        <f t="shared" si="0"/>
        <v>1</v>
      </c>
      <c r="B15" s="197" t="s">
        <v>177</v>
      </c>
      <c r="C15" s="198">
        <f>IF(B15=B13,C13,C13+1)</f>
        <v>1</v>
      </c>
      <c r="D15" s="199">
        <f t="shared" si="2"/>
        <v>1</v>
      </c>
      <c r="E15" s="175" t="s">
        <v>220</v>
      </c>
      <c r="F15" s="200">
        <f>IF(E15=E13,F13,F13+1)</f>
        <v>1</v>
      </c>
      <c r="G15" s="201"/>
      <c r="H15" s="175" t="s">
        <v>159</v>
      </c>
      <c r="I15" s="321">
        <v>11</v>
      </c>
      <c r="J15" s="202" t="s">
        <v>49</v>
      </c>
      <c r="K15" s="292">
        <f t="shared" si="4"/>
        <v>0.22982313000735932</v>
      </c>
      <c r="L15" s="331">
        <f t="shared" si="9"/>
        <v>0.20592418355301723</v>
      </c>
      <c r="M15" s="342">
        <f>T15/'MKI-waarden'!$N$39*'MKI-waarden'!$D$39</f>
        <v>20.617235294117645</v>
      </c>
      <c r="N15" s="342">
        <f t="shared" si="7"/>
        <v>0.27489647058823524</v>
      </c>
      <c r="O15" s="342">
        <f t="shared" si="5"/>
        <v>0.27489647058823524</v>
      </c>
      <c r="P15" s="203">
        <v>75</v>
      </c>
      <c r="Q15" s="203">
        <f>'Invoer en resultaat'!$H$9</f>
        <v>100</v>
      </c>
      <c r="R15" s="203">
        <f t="shared" si="8"/>
        <v>25</v>
      </c>
      <c r="S15" s="357">
        <f t="shared" si="6"/>
        <v>1</v>
      </c>
      <c r="T15" s="354">
        <v>0.01</v>
      </c>
      <c r="U15" s="190">
        <v>0</v>
      </c>
      <c r="W15" s="140" t="s">
        <v>653</v>
      </c>
      <c r="X15" s="140"/>
      <c r="Y15" s="140" t="str">
        <f>'MKI-waarden'!$A$39</f>
        <v>Damwand Staal, constructiestaal</v>
      </c>
    </row>
    <row r="16" spans="1:25" s="205" customFormat="1" ht="14.25" customHeight="1" x14ac:dyDescent="0.2">
      <c r="A16" s="196">
        <f t="shared" si="0"/>
        <v>1</v>
      </c>
      <c r="B16" s="197" t="s">
        <v>177</v>
      </c>
      <c r="C16" s="198">
        <f t="shared" si="1"/>
        <v>1</v>
      </c>
      <c r="D16" s="199">
        <f t="shared" si="2"/>
        <v>1</v>
      </c>
      <c r="E16" s="175" t="s">
        <v>220</v>
      </c>
      <c r="F16" s="200">
        <f t="shared" si="3"/>
        <v>1</v>
      </c>
      <c r="G16" s="201"/>
      <c r="H16" s="205" t="s">
        <v>160</v>
      </c>
      <c r="I16" s="321">
        <v>12</v>
      </c>
      <c r="J16" s="202" t="s">
        <v>49</v>
      </c>
      <c r="K16" s="292">
        <f t="shared" si="4"/>
        <v>0.22982313000735932</v>
      </c>
      <c r="L16" s="331">
        <f t="shared" si="9"/>
        <v>0.20592418355301723</v>
      </c>
      <c r="M16" s="342">
        <f>T16/'MKI-waarden'!$N$39*'MKI-waarden'!$D$39</f>
        <v>20.617235294117645</v>
      </c>
      <c r="N16" s="342">
        <f t="shared" si="7"/>
        <v>0.27489647058823524</v>
      </c>
      <c r="O16" s="342">
        <f t="shared" si="5"/>
        <v>0.27489647058823524</v>
      </c>
      <c r="P16" s="203">
        <v>75</v>
      </c>
      <c r="Q16" s="203">
        <f>'Invoer en resultaat'!$H$9</f>
        <v>100</v>
      </c>
      <c r="R16" s="203">
        <f t="shared" si="8"/>
        <v>25</v>
      </c>
      <c r="S16" s="357">
        <f t="shared" si="6"/>
        <v>1</v>
      </c>
      <c r="T16" s="354">
        <v>0.01</v>
      </c>
      <c r="U16" s="190">
        <v>0</v>
      </c>
      <c r="W16" s="140" t="s">
        <v>653</v>
      </c>
      <c r="X16" s="140"/>
      <c r="Y16" s="140" t="str">
        <f>'MKI-waarden'!$A$39</f>
        <v>Damwand Staal, constructiestaal</v>
      </c>
    </row>
    <row r="17" spans="1:25" s="205" customFormat="1" ht="14.25" customHeight="1" x14ac:dyDescent="0.2">
      <c r="A17" s="196">
        <f t="shared" si="0"/>
        <v>1</v>
      </c>
      <c r="B17" s="197" t="s">
        <v>177</v>
      </c>
      <c r="C17" s="198">
        <f t="shared" si="1"/>
        <v>1</v>
      </c>
      <c r="D17" s="199">
        <f t="shared" si="2"/>
        <v>1</v>
      </c>
      <c r="E17" s="175" t="s">
        <v>220</v>
      </c>
      <c r="F17" s="200">
        <f t="shared" si="3"/>
        <v>1</v>
      </c>
      <c r="G17" s="201"/>
      <c r="H17" s="205" t="s">
        <v>161</v>
      </c>
      <c r="I17" s="321">
        <v>13</v>
      </c>
      <c r="J17" s="202" t="s">
        <v>49</v>
      </c>
      <c r="K17" s="292">
        <f t="shared" si="4"/>
        <v>-0.38631836598675329</v>
      </c>
      <c r="L17" s="331">
        <f t="shared" si="9"/>
        <v>-0.42933646960456895</v>
      </c>
      <c r="M17" s="342">
        <f>T17/'MKI-waarden'!$N$39*'MKI-waarden'!$D$39</f>
        <v>24.740682352941171</v>
      </c>
      <c r="N17" s="342">
        <f t="shared" si="7"/>
        <v>0.49481364705882341</v>
      </c>
      <c r="O17" s="342">
        <f t="shared" si="5"/>
        <v>0.49481364705882341</v>
      </c>
      <c r="P17" s="203">
        <v>50</v>
      </c>
      <c r="Q17" s="203">
        <f>'Invoer en resultaat'!$H$9</f>
        <v>100</v>
      </c>
      <c r="R17" s="203">
        <f t="shared" si="8"/>
        <v>50</v>
      </c>
      <c r="S17" s="357">
        <f t="shared" si="6"/>
        <v>1</v>
      </c>
      <c r="T17" s="354">
        <v>1.2E-2</v>
      </c>
      <c r="U17" s="190">
        <v>0</v>
      </c>
      <c r="W17" s="140" t="s">
        <v>653</v>
      </c>
      <c r="X17" s="140"/>
      <c r="Y17" s="140" t="str">
        <f>'MKI-waarden'!$A$39</f>
        <v>Damwand Staal, constructiestaal</v>
      </c>
    </row>
    <row r="18" spans="1:25" s="205" customFormat="1" ht="14.25" customHeight="1" x14ac:dyDescent="0.2">
      <c r="A18" s="196">
        <f t="shared" ref="A18" si="14">C18</f>
        <v>1</v>
      </c>
      <c r="B18" s="197" t="s">
        <v>177</v>
      </c>
      <c r="C18" s="198">
        <f t="shared" ref="C18" si="15">IF(B18=B17,C17,C17+1)</f>
        <v>1</v>
      </c>
      <c r="D18" s="199">
        <f t="shared" ref="D18" si="16">F18</f>
        <v>1</v>
      </c>
      <c r="E18" s="175" t="s">
        <v>220</v>
      </c>
      <c r="F18" s="200">
        <f t="shared" ref="F18" si="17">IF(E18=E17,F17,F17+1)</f>
        <v>1</v>
      </c>
      <c r="G18" s="201"/>
      <c r="H18" s="205" t="s">
        <v>366</v>
      </c>
      <c r="I18" s="321">
        <v>14</v>
      </c>
      <c r="J18" s="202" t="s">
        <v>49</v>
      </c>
      <c r="K18" s="491">
        <f t="shared" si="4"/>
        <v>0.79838847736537688</v>
      </c>
      <c r="L18" s="331">
        <f t="shared" si="9"/>
        <v>0.79213237805656589</v>
      </c>
      <c r="M18" s="342">
        <f>T18/'MKI-waarden'!N125*'MKI-waarden'!D125</f>
        <v>5.3970358785288726</v>
      </c>
      <c r="N18" s="342">
        <f t="shared" si="7"/>
        <v>7.1960478380384968E-2</v>
      </c>
      <c r="O18" s="470">
        <f t="shared" si="5"/>
        <v>7.1960478380384968E-2</v>
      </c>
      <c r="P18" s="203">
        <v>75</v>
      </c>
      <c r="Q18" s="203">
        <f>'Invoer en resultaat'!$H$9</f>
        <v>100</v>
      </c>
      <c r="R18" s="203">
        <f t="shared" si="8"/>
        <v>25</v>
      </c>
      <c r="S18" s="357">
        <f t="shared" si="6"/>
        <v>1</v>
      </c>
      <c r="T18" s="354">
        <v>0.12</v>
      </c>
      <c r="U18" s="190"/>
      <c r="V18" s="493"/>
      <c r="W18" s="140"/>
      <c r="X18" s="140"/>
      <c r="Y18" s="140" t="str">
        <f>'MKI-waarden'!$A$125</f>
        <v>Damwand, Beton 30% granulaat</v>
      </c>
    </row>
    <row r="19" spans="1:25" s="220" customFormat="1" ht="14.25" customHeight="1" x14ac:dyDescent="0.2">
      <c r="A19" s="208">
        <f>C19</f>
        <v>1</v>
      </c>
      <c r="B19" s="209" t="s">
        <v>177</v>
      </c>
      <c r="C19" s="210">
        <f>IF(B19=B17,C17,C17+1)</f>
        <v>1</v>
      </c>
      <c r="D19" s="211">
        <f>F19</f>
        <v>1</v>
      </c>
      <c r="E19" s="212" t="s">
        <v>220</v>
      </c>
      <c r="F19" s="213">
        <f>IF(E19=E17,F17,F17+1)</f>
        <v>1</v>
      </c>
      <c r="G19" s="214"/>
      <c r="H19" s="212" t="s">
        <v>1</v>
      </c>
      <c r="I19" s="321">
        <v>15</v>
      </c>
      <c r="J19" s="215" t="s">
        <v>49</v>
      </c>
      <c r="K19" s="490">
        <f t="shared" si="4"/>
        <v>0.79765126719986634</v>
      </c>
      <c r="L19" s="332">
        <f t="shared" si="9"/>
        <v>0.7913722919167725</v>
      </c>
      <c r="M19" s="345">
        <f>T19/'MKI-waarden'!$N$31*'MKI-waarden'!$D$31</f>
        <v>5.4167706122448971</v>
      </c>
      <c r="N19" s="345">
        <f>IFERROR(IF(Q19&lt;P19,M19/Q19,M19/P19),"")</f>
        <v>7.2223608163265299E-2</v>
      </c>
      <c r="O19" s="492">
        <f t="shared" si="5"/>
        <v>7.2223608163265299E-2</v>
      </c>
      <c r="P19" s="216">
        <v>75</v>
      </c>
      <c r="Q19" s="216">
        <f>'Invoer en resultaat'!$H$9</f>
        <v>100</v>
      </c>
      <c r="R19" s="216">
        <f>Q19-P19</f>
        <v>25</v>
      </c>
      <c r="S19" s="358">
        <f>IF(Q19&lt;P19,0,ROUNDDOWN(Q19/P19-0.01,0))</f>
        <v>1</v>
      </c>
      <c r="T19" s="359">
        <v>0.12</v>
      </c>
      <c r="U19" s="217">
        <v>0</v>
      </c>
      <c r="V19" s="218"/>
      <c r="W19" s="219"/>
      <c r="X19" s="219"/>
      <c r="Y19" s="219" t="str">
        <f>'MKI-waarden'!$A$31</f>
        <v>Damwand, Beton</v>
      </c>
    </row>
    <row r="20" spans="1:25" s="220" customFormat="1" ht="14.25" customHeight="1" x14ac:dyDescent="0.2">
      <c r="A20" s="208">
        <f>C20</f>
        <v>1</v>
      </c>
      <c r="B20" s="209" t="s">
        <v>177</v>
      </c>
      <c r="C20" s="210">
        <f>IF(B20=B18,C18,C18+1)</f>
        <v>1</v>
      </c>
      <c r="D20" s="211">
        <f>F20</f>
        <v>1</v>
      </c>
      <c r="E20" s="212" t="s">
        <v>220</v>
      </c>
      <c r="F20" s="213">
        <f>IF(E20=E18,F18,F18+1)</f>
        <v>1</v>
      </c>
      <c r="G20" s="214"/>
      <c r="H20" s="212"/>
      <c r="I20" s="321">
        <v>16</v>
      </c>
      <c r="J20" s="215"/>
      <c r="K20" s="490"/>
      <c r="L20" s="332"/>
      <c r="M20" s="345"/>
      <c r="N20" s="345"/>
      <c r="O20" s="492"/>
      <c r="P20" s="216"/>
      <c r="Q20" s="216"/>
      <c r="R20" s="216"/>
      <c r="S20" s="358"/>
      <c r="T20" s="359"/>
      <c r="U20" s="217"/>
      <c r="V20" s="218"/>
      <c r="W20" s="219"/>
      <c r="X20" s="219"/>
      <c r="Y20" s="219"/>
    </row>
    <row r="21" spans="1:25" s="510" customFormat="1" x14ac:dyDescent="0.2">
      <c r="A21" s="494">
        <f>C21</f>
        <v>1</v>
      </c>
      <c r="B21" s="495" t="str">
        <f>B19</f>
        <v>Peilscheiding,Stuw, Damwand</v>
      </c>
      <c r="C21" s="496">
        <f>IF(B21=B19,C19,C19+1)</f>
        <v>1</v>
      </c>
      <c r="D21" s="497">
        <f>F21</f>
        <v>1</v>
      </c>
      <c r="E21" s="515" t="str">
        <f>E19</f>
        <v>Damwandplanken (in oever, op waterlijn)</v>
      </c>
      <c r="F21" s="499">
        <f>IF(E21=E19,F19,F19+1)</f>
        <v>1</v>
      </c>
      <c r="G21" s="512"/>
      <c r="H21" s="515" t="s">
        <v>669</v>
      </c>
      <c r="I21" s="321">
        <v>17</v>
      </c>
      <c r="J21" s="501" t="s">
        <v>49</v>
      </c>
      <c r="K21" s="502"/>
      <c r="L21" s="503"/>
      <c r="M21" s="504"/>
      <c r="N21" s="504"/>
      <c r="O21" s="504"/>
      <c r="P21" s="505">
        <v>50</v>
      </c>
      <c r="Q21" s="513">
        <f>'Invoer en resultaat'!$H$9</f>
        <v>100</v>
      </c>
      <c r="R21" s="513">
        <f>Q21-P21</f>
        <v>50</v>
      </c>
      <c r="S21" s="514">
        <f>IF(Q21&lt;P21,0,ROUNDDOWN(Q21/P21-0.01,0))</f>
        <v>1</v>
      </c>
      <c r="T21" s="506"/>
      <c r="U21" s="507"/>
      <c r="V21" s="508" t="s">
        <v>668</v>
      </c>
      <c r="W21" s="509"/>
      <c r="X21" s="509"/>
      <c r="Y21" s="509"/>
    </row>
    <row r="22" spans="1:25" s="205" customFormat="1" ht="14.25" customHeight="1" x14ac:dyDescent="0.2">
      <c r="A22" s="196">
        <f t="shared" si="0"/>
        <v>1</v>
      </c>
      <c r="B22" s="197" t="s">
        <v>177</v>
      </c>
      <c r="C22" s="198">
        <f>IF(B22=B19,C19,C19+1)</f>
        <v>1</v>
      </c>
      <c r="D22" s="199">
        <f t="shared" si="2"/>
        <v>2</v>
      </c>
      <c r="E22" s="175" t="s">
        <v>221</v>
      </c>
      <c r="F22" s="200">
        <f>IF(E22=E19,F19,F19+1)</f>
        <v>2</v>
      </c>
      <c r="G22" s="201"/>
      <c r="H22" s="175" t="s">
        <v>12</v>
      </c>
      <c r="I22" s="321">
        <v>18</v>
      </c>
      <c r="J22" s="202" t="s">
        <v>49</v>
      </c>
      <c r="K22" s="292">
        <f t="shared" ref="K22:K27" si="18">1-(N22/AVERAGE($N$22:$N$27))</f>
        <v>-1.1688333605867514</v>
      </c>
      <c r="L22" s="331">
        <f t="shared" ref="L22:L27" si="19">IF(K22&gt;-1,1-(O22/AVERAGE($O$22:$O$27)),1-(O22/AVERAGE($N$22:$N$27)))</f>
        <v>-1</v>
      </c>
      <c r="M22" s="342">
        <f>T22/'MKI-waarden'!N34*'MKI-waarden'!D34</f>
        <v>13.6312</v>
      </c>
      <c r="N22" s="342">
        <f t="shared" si="7"/>
        <v>1.3631199999999999</v>
      </c>
      <c r="O22" s="342">
        <f t="shared" ref="O22:O27" si="20">IF(K22&lt;-1,(2*AVERAGE($N$22:$N$27)),N22)</f>
        <v>1.2570075919813632</v>
      </c>
      <c r="P22" s="203">
        <v>10</v>
      </c>
      <c r="Q22" s="203">
        <f>'Invoer en resultaat'!$H$9</f>
        <v>100</v>
      </c>
      <c r="R22" s="203">
        <f t="shared" si="8"/>
        <v>90</v>
      </c>
      <c r="S22" s="357">
        <f t="shared" si="6"/>
        <v>9</v>
      </c>
      <c r="T22" s="354">
        <v>0.12</v>
      </c>
      <c r="U22" s="190">
        <v>0</v>
      </c>
      <c r="W22" s="140" t="s">
        <v>246</v>
      </c>
      <c r="X22" s="140"/>
      <c r="Y22" s="140" t="str">
        <f>Y5</f>
        <v>Damwanden, Europees naaldhout, damwandplanken</v>
      </c>
    </row>
    <row r="23" spans="1:25" s="205" customFormat="1" ht="14.25" customHeight="1" x14ac:dyDescent="0.2">
      <c r="A23" s="196">
        <f t="shared" si="0"/>
        <v>1</v>
      </c>
      <c r="B23" s="197" t="s">
        <v>177</v>
      </c>
      <c r="C23" s="198">
        <f t="shared" ref="C23:C50" si="21">IF(B23=B22,C22,C22+1)</f>
        <v>1</v>
      </c>
      <c r="D23" s="199">
        <f t="shared" si="2"/>
        <v>2</v>
      </c>
      <c r="E23" s="175" t="s">
        <v>221</v>
      </c>
      <c r="F23" s="200">
        <f t="shared" ref="F23:F51" si="22">IF(E23=E22,F22,F22+1)</f>
        <v>2</v>
      </c>
      <c r="G23" s="201"/>
      <c r="H23" s="175" t="s">
        <v>13</v>
      </c>
      <c r="I23" s="321">
        <v>19</v>
      </c>
      <c r="J23" s="202" t="s">
        <v>49</v>
      </c>
      <c r="K23" s="292">
        <f t="shared" si="18"/>
        <v>0.22811815972888838</v>
      </c>
      <c r="L23" s="331">
        <f t="shared" si="19"/>
        <v>0.20576938921219268</v>
      </c>
      <c r="M23" s="342">
        <f>T23/'MKI-waarden'!N35*'MKI-waarden'!D35</f>
        <v>12.128266666666667</v>
      </c>
      <c r="N23" s="342">
        <f t="shared" si="7"/>
        <v>0.48513066666666665</v>
      </c>
      <c r="O23" s="342">
        <f t="shared" si="20"/>
        <v>0.48513066666666665</v>
      </c>
      <c r="P23" s="203">
        <v>25</v>
      </c>
      <c r="Q23" s="203">
        <f>'Invoer en resultaat'!$H$9</f>
        <v>100</v>
      </c>
      <c r="R23" s="203">
        <f t="shared" si="8"/>
        <v>75</v>
      </c>
      <c r="S23" s="357">
        <f t="shared" si="6"/>
        <v>3</v>
      </c>
      <c r="T23" s="354">
        <v>0.1</v>
      </c>
      <c r="U23" s="190">
        <v>0</v>
      </c>
      <c r="W23" s="140" t="s">
        <v>246</v>
      </c>
      <c r="X23" s="140"/>
      <c r="Y23" s="140" t="str">
        <f>'MKI-waarden'!$A$29</f>
        <v>Damwand, tropisch hardhout, damwandplanken</v>
      </c>
    </row>
    <row r="24" spans="1:25" s="205" customFormat="1" ht="14.25" customHeight="1" x14ac:dyDescent="0.2">
      <c r="A24" s="196">
        <f t="shared" si="0"/>
        <v>1</v>
      </c>
      <c r="B24" s="197" t="s">
        <v>177</v>
      </c>
      <c r="C24" s="198">
        <f t="shared" si="21"/>
        <v>1</v>
      </c>
      <c r="D24" s="199">
        <f t="shared" si="2"/>
        <v>2</v>
      </c>
      <c r="E24" s="175" t="s">
        <v>221</v>
      </c>
      <c r="F24" s="200">
        <f t="shared" si="22"/>
        <v>2</v>
      </c>
      <c r="G24" s="201"/>
      <c r="H24" s="175" t="s">
        <v>100</v>
      </c>
      <c r="I24" s="321">
        <v>20</v>
      </c>
      <c r="J24" s="202" t="s">
        <v>49</v>
      </c>
      <c r="K24" s="292">
        <f t="shared" si="18"/>
        <v>0.43955434947727423</v>
      </c>
      <c r="L24" s="292">
        <f t="shared" si="19"/>
        <v>0.42332742123886247</v>
      </c>
      <c r="M24" s="342">
        <f>T24/'MKI-waarden'!N36*'MKI-waarden'!E36</f>
        <v>17.612110940000004</v>
      </c>
      <c r="N24" s="342">
        <f t="shared" si="7"/>
        <v>0.35224221880000006</v>
      </c>
      <c r="O24" s="342">
        <f t="shared" si="20"/>
        <v>0.35224221880000006</v>
      </c>
      <c r="P24" s="203">
        <v>50</v>
      </c>
      <c r="Q24" s="203">
        <f>'Invoer en resultaat'!$H$9</f>
        <v>100</v>
      </c>
      <c r="R24" s="203">
        <f t="shared" si="8"/>
        <v>50</v>
      </c>
      <c r="S24" s="357">
        <f t="shared" si="6"/>
        <v>1</v>
      </c>
      <c r="T24" s="354">
        <v>0.1</v>
      </c>
      <c r="U24" s="190">
        <v>0</v>
      </c>
      <c r="V24" s="205" t="s">
        <v>543</v>
      </c>
      <c r="W24" s="140" t="s">
        <v>328</v>
      </c>
      <c r="X24" s="140"/>
      <c r="Y24" s="140" t="str">
        <f>'MKI-waarden'!A43</f>
        <v>Damwand PE nieuw</v>
      </c>
    </row>
    <row r="25" spans="1:25" s="205" customFormat="1" ht="14.25" customHeight="1" x14ac:dyDescent="0.2">
      <c r="A25" s="196">
        <f t="shared" si="0"/>
        <v>1</v>
      </c>
      <c r="B25" s="197" t="s">
        <v>177</v>
      </c>
      <c r="C25" s="198">
        <f t="shared" si="21"/>
        <v>1</v>
      </c>
      <c r="D25" s="199">
        <f t="shared" si="2"/>
        <v>2</v>
      </c>
      <c r="E25" s="175" t="s">
        <v>221</v>
      </c>
      <c r="F25" s="200">
        <f t="shared" si="22"/>
        <v>2</v>
      </c>
      <c r="G25" s="201"/>
      <c r="H25" s="175" t="s">
        <v>115</v>
      </c>
      <c r="I25" s="321">
        <v>21</v>
      </c>
      <c r="J25" s="202" t="s">
        <v>49</v>
      </c>
      <c r="K25" s="292">
        <f t="shared" si="18"/>
        <v>0.42999156123864224</v>
      </c>
      <c r="L25" s="331">
        <f t="shared" si="19"/>
        <v>0.41348775570024121</v>
      </c>
      <c r="M25" s="342">
        <f>(0.9*M24)+(0.1*M27)</f>
        <v>17.912623375411769</v>
      </c>
      <c r="N25" s="342">
        <f t="shared" si="7"/>
        <v>0.35825246750823536</v>
      </c>
      <c r="O25" s="342">
        <f t="shared" si="20"/>
        <v>0.35825246750823536</v>
      </c>
      <c r="P25" s="203">
        <v>50</v>
      </c>
      <c r="Q25" s="203">
        <f>'Invoer en resultaat'!$H$9</f>
        <v>100</v>
      </c>
      <c r="R25" s="203">
        <f t="shared" si="8"/>
        <v>50</v>
      </c>
      <c r="S25" s="357">
        <f t="shared" si="6"/>
        <v>1</v>
      </c>
      <c r="T25" s="354">
        <v>0.1</v>
      </c>
      <c r="U25" s="190">
        <v>0</v>
      </c>
      <c r="V25" s="205" t="s">
        <v>543</v>
      </c>
      <c r="W25" s="140" t="s">
        <v>246</v>
      </c>
      <c r="X25" s="140"/>
      <c r="Y25" s="140" t="s">
        <v>229</v>
      </c>
    </row>
    <row r="26" spans="1:25" s="205" customFormat="1" ht="14.25" customHeight="1" x14ac:dyDescent="0.2">
      <c r="A26" s="196">
        <f t="shared" si="0"/>
        <v>1</v>
      </c>
      <c r="B26" s="197" t="s">
        <v>177</v>
      </c>
      <c r="C26" s="198">
        <f t="shared" si="21"/>
        <v>1</v>
      </c>
      <c r="D26" s="199">
        <f t="shared" si="2"/>
        <v>2</v>
      </c>
      <c r="E26" s="175" t="s">
        <v>221</v>
      </c>
      <c r="F26" s="200">
        <f t="shared" si="22"/>
        <v>2</v>
      </c>
      <c r="G26" s="201"/>
      <c r="H26" s="205" t="s">
        <v>660</v>
      </c>
      <c r="I26" s="321">
        <v>22</v>
      </c>
      <c r="J26" s="202" t="s">
        <v>49</v>
      </c>
      <c r="K26" s="292">
        <f t="shared" si="18"/>
        <v>-0.49144835458535585</v>
      </c>
      <c r="L26" s="331">
        <f t="shared" si="19"/>
        <v>-0.53463117775220748</v>
      </c>
      <c r="M26" s="342">
        <f>T26/T13*M13</f>
        <v>65.61666666666666</v>
      </c>
      <c r="N26" s="342">
        <f t="shared" si="7"/>
        <v>0.93738095238095231</v>
      </c>
      <c r="O26" s="342">
        <f t="shared" si="20"/>
        <v>0.93738095238095231</v>
      </c>
      <c r="P26" s="203">
        <v>70</v>
      </c>
      <c r="Q26" s="203">
        <f>'Invoer en resultaat'!$H$9</f>
        <v>100</v>
      </c>
      <c r="R26" s="203">
        <f t="shared" si="8"/>
        <v>30</v>
      </c>
      <c r="S26" s="357">
        <f t="shared" si="6"/>
        <v>1</v>
      </c>
      <c r="T26" s="354">
        <v>0.1</v>
      </c>
      <c r="U26" s="190">
        <v>0</v>
      </c>
      <c r="V26" s="183"/>
      <c r="W26" s="140"/>
      <c r="X26" s="140"/>
      <c r="Y26" s="207" t="str">
        <f>'MKI-waarden'!$A$38</f>
        <v>Damwand, kunststof vezelversterkt</v>
      </c>
    </row>
    <row r="27" spans="1:25" s="220" customFormat="1" ht="14.25" customHeight="1" x14ac:dyDescent="0.2">
      <c r="A27" s="208">
        <f>C27</f>
        <v>1</v>
      </c>
      <c r="B27" s="209" t="s">
        <v>177</v>
      </c>
      <c r="C27" s="210">
        <f>IF(B27=B26,C26,C26+1)</f>
        <v>1</v>
      </c>
      <c r="D27" s="211">
        <f>F27</f>
        <v>2</v>
      </c>
      <c r="E27" s="212" t="s">
        <v>221</v>
      </c>
      <c r="F27" s="213">
        <f>IF(E27=E26,F26,F26+1)</f>
        <v>2</v>
      </c>
      <c r="G27" s="214"/>
      <c r="H27" s="220" t="s">
        <v>4</v>
      </c>
      <c r="I27" s="321">
        <v>23</v>
      </c>
      <c r="J27" s="215" t="s">
        <v>49</v>
      </c>
      <c r="K27" s="296">
        <f t="shared" si="18"/>
        <v>0.56261764472730258</v>
      </c>
      <c r="L27" s="331">
        <f t="shared" si="19"/>
        <v>0.54995384390176683</v>
      </c>
      <c r="M27" s="342">
        <f>T27/'MKI-waarden'!$N$39*'MKI-waarden'!$D$39</f>
        <v>20.617235294117645</v>
      </c>
      <c r="N27" s="345">
        <f>IFERROR(IF(Q27&lt;P27,M27/Q27,M27/P27),"")</f>
        <v>0.27489647058823524</v>
      </c>
      <c r="O27" s="345">
        <f t="shared" si="20"/>
        <v>0.27489647058823524</v>
      </c>
      <c r="P27" s="216">
        <v>75</v>
      </c>
      <c r="Q27" s="216">
        <f>'Invoer en resultaat'!$H$9</f>
        <v>100</v>
      </c>
      <c r="R27" s="216">
        <f>Q27-P27</f>
        <v>25</v>
      </c>
      <c r="S27" s="358">
        <f>IF(Q27&lt;P27,0,ROUNDDOWN(Q27/P27-0.01,0))</f>
        <v>1</v>
      </c>
      <c r="T27" s="359">
        <v>0.01</v>
      </c>
      <c r="U27" s="217">
        <v>0</v>
      </c>
      <c r="V27" s="218"/>
      <c r="W27" s="229"/>
      <c r="X27" s="229"/>
      <c r="Y27" s="229" t="str">
        <f>'MKI-waarden'!$A$39</f>
        <v>Damwand Staal, constructiestaal</v>
      </c>
    </row>
    <row r="28" spans="1:25" s="510" customFormat="1" x14ac:dyDescent="0.2">
      <c r="A28" s="494">
        <f>C28</f>
        <v>1</v>
      </c>
      <c r="B28" s="495" t="str">
        <f>B27</f>
        <v>Peilscheiding,Stuw, Damwand</v>
      </c>
      <c r="C28" s="496">
        <f>IF(B28=B27,C27,C27+1)</f>
        <v>1</v>
      </c>
      <c r="D28" s="497">
        <f>F28</f>
        <v>2</v>
      </c>
      <c r="E28" s="515" t="str">
        <f>E27</f>
        <v>Gording</v>
      </c>
      <c r="F28" s="499">
        <f>IF(E28=E27,F27,F27+1)</f>
        <v>2</v>
      </c>
      <c r="G28" s="512"/>
      <c r="H28" s="515" t="s">
        <v>669</v>
      </c>
      <c r="I28" s="321">
        <v>24</v>
      </c>
      <c r="J28" s="501" t="s">
        <v>49</v>
      </c>
      <c r="K28" s="502"/>
      <c r="L28" s="503"/>
      <c r="M28" s="504"/>
      <c r="N28" s="504"/>
      <c r="O28" s="504"/>
      <c r="P28" s="505">
        <v>50</v>
      </c>
      <c r="Q28" s="513">
        <f>'Invoer en resultaat'!$H$9</f>
        <v>100</v>
      </c>
      <c r="R28" s="513">
        <f>Q28-P28</f>
        <v>50</v>
      </c>
      <c r="S28" s="514">
        <f>IF(Q28&lt;P28,0,ROUNDDOWN(Q28/P28-0.01,0))</f>
        <v>1</v>
      </c>
      <c r="T28" s="506"/>
      <c r="U28" s="507"/>
      <c r="V28" s="508" t="s">
        <v>668</v>
      </c>
      <c r="W28" s="509"/>
      <c r="X28" s="509"/>
      <c r="Y28" s="509"/>
    </row>
    <row r="29" spans="1:25" s="205" customFormat="1" ht="14.25" customHeight="1" x14ac:dyDescent="0.2">
      <c r="A29" s="196">
        <f t="shared" si="0"/>
        <v>1</v>
      </c>
      <c r="B29" s="197" t="s">
        <v>177</v>
      </c>
      <c r="C29" s="198">
        <f>IF(B29=B27,C27,C27+1)</f>
        <v>1</v>
      </c>
      <c r="D29" s="199">
        <f t="shared" si="2"/>
        <v>3</v>
      </c>
      <c r="E29" s="175" t="s">
        <v>8</v>
      </c>
      <c r="F29" s="200">
        <f>IF(E29=E27,F27,F27+1)</f>
        <v>3</v>
      </c>
      <c r="G29" s="201"/>
      <c r="H29" s="175" t="s">
        <v>13</v>
      </c>
      <c r="I29" s="321">
        <v>25</v>
      </c>
      <c r="J29" s="221" t="s">
        <v>49</v>
      </c>
      <c r="K29" s="292">
        <f>1-(N29/AVERAGE($N$29:$N$32))</f>
        <v>0.32855427887894184</v>
      </c>
      <c r="L29" s="331">
        <f>IF(K29&gt;-1,1-(O29/AVERAGE($O$29:$O$32)),1-(O29/AVERAGE($N$29:$N$32)))</f>
        <v>0.24662325679102282</v>
      </c>
      <c r="M29" s="342">
        <f>T29/'MKI-waarden'!N29*'MKI-waarden'!D29</f>
        <v>5.1913466666666661</v>
      </c>
      <c r="N29" s="342">
        <f t="shared" si="7"/>
        <v>0.20765386666666663</v>
      </c>
      <c r="O29" s="342">
        <f>IF(K29&lt;-1,(2*AVERAGE($N$29:$N$32)),N29)</f>
        <v>0.20765386666666663</v>
      </c>
      <c r="P29" s="203">
        <v>25</v>
      </c>
      <c r="Q29" s="203">
        <f>'Invoer en resultaat'!$H$9</f>
        <v>100</v>
      </c>
      <c r="R29" s="203">
        <f t="shared" si="8"/>
        <v>75</v>
      </c>
      <c r="S29" s="357">
        <f t="shared" si="6"/>
        <v>3</v>
      </c>
      <c r="T29" s="354">
        <v>0.08</v>
      </c>
      <c r="U29" s="190">
        <v>0</v>
      </c>
      <c r="W29" s="140" t="s">
        <v>162</v>
      </c>
      <c r="X29" s="140"/>
      <c r="Y29" s="140" t="str">
        <f>'MKI-waarden'!A29</f>
        <v>Damwand, tropisch hardhout, damwandplanken</v>
      </c>
    </row>
    <row r="30" spans="1:25" s="205" customFormat="1" ht="14.25" customHeight="1" x14ac:dyDescent="0.2">
      <c r="A30" s="196">
        <f t="shared" si="0"/>
        <v>1</v>
      </c>
      <c r="B30" s="197" t="s">
        <v>177</v>
      </c>
      <c r="C30" s="198">
        <f t="shared" si="21"/>
        <v>1</v>
      </c>
      <c r="D30" s="199">
        <f t="shared" si="2"/>
        <v>3</v>
      </c>
      <c r="E30" s="175" t="s">
        <v>8</v>
      </c>
      <c r="F30" s="200">
        <f t="shared" si="22"/>
        <v>3</v>
      </c>
      <c r="G30" s="201"/>
      <c r="H30" s="205" t="s">
        <v>4</v>
      </c>
      <c r="I30" s="321">
        <v>26</v>
      </c>
      <c r="J30" s="221" t="s">
        <v>49</v>
      </c>
      <c r="K30" s="292">
        <f>1-(N30/AVERAGE($N$29:$N$32))</f>
        <v>0.28890104714864706</v>
      </c>
      <c r="L30" s="331">
        <f>IF(K30&gt;-1,1-(O30/AVERAGE($O$29:$O$32)),1-(O30/AVERAGE($N$29:$N$32)))</f>
        <v>0.20213146595973641</v>
      </c>
      <c r="M30" s="342">
        <f>T30/'MKI-waarden'!N39*'MKI-waarden'!D39</f>
        <v>16.493788235294115</v>
      </c>
      <c r="N30" s="342">
        <f t="shared" si="7"/>
        <v>0.2199171764705882</v>
      </c>
      <c r="O30" s="342">
        <f>IF(K30&lt;-1,(2*AVERAGE($N$29:$N$32)),N30)</f>
        <v>0.2199171764705882</v>
      </c>
      <c r="P30" s="203">
        <v>75</v>
      </c>
      <c r="Q30" s="203">
        <f>'Invoer en resultaat'!$H$9</f>
        <v>100</v>
      </c>
      <c r="R30" s="203">
        <f t="shared" si="8"/>
        <v>25</v>
      </c>
      <c r="S30" s="357">
        <f t="shared" si="6"/>
        <v>1</v>
      </c>
      <c r="T30" s="354">
        <v>8.0000000000000002E-3</v>
      </c>
      <c r="U30" s="190">
        <v>0</v>
      </c>
      <c r="W30" s="140" t="s">
        <v>162</v>
      </c>
      <c r="X30" s="140"/>
      <c r="Y30" s="140" t="str">
        <f>'MKI-waarden'!$A$39</f>
        <v>Damwand Staal, constructiestaal</v>
      </c>
    </row>
    <row r="31" spans="1:25" s="205" customFormat="1" ht="14.25" customHeight="1" x14ac:dyDescent="0.2">
      <c r="A31" s="196">
        <f t="shared" si="0"/>
        <v>1</v>
      </c>
      <c r="B31" s="222" t="s">
        <v>177</v>
      </c>
      <c r="C31" s="223">
        <f t="shared" si="21"/>
        <v>1</v>
      </c>
      <c r="D31" s="224">
        <f t="shared" si="2"/>
        <v>3</v>
      </c>
      <c r="E31" s="205" t="s">
        <v>8</v>
      </c>
      <c r="F31" s="225">
        <f t="shared" si="22"/>
        <v>3</v>
      </c>
      <c r="G31" s="226"/>
      <c r="H31" s="205" t="s">
        <v>1</v>
      </c>
      <c r="I31" s="321">
        <v>27</v>
      </c>
      <c r="J31" s="221" t="s">
        <v>49</v>
      </c>
      <c r="K31" s="295">
        <f>1-(N31/AVERAGE($N$29:$N$32))</f>
        <v>0.81755158294035846</v>
      </c>
      <c r="L31" s="331">
        <f>IF(K31&gt;-1,1-(O31/AVERAGE($O$29:$O$32)),1-(O31/AVERAGE($N$29:$N$32)))</f>
        <v>0.79528889689172055</v>
      </c>
      <c r="M31" s="342">
        <f>T31/'MKI-waarden'!N31*'MKI-waarden'!D31</f>
        <v>4.5139755102040811</v>
      </c>
      <c r="N31" s="342">
        <f t="shared" si="7"/>
        <v>5.6424693877551016E-2</v>
      </c>
      <c r="O31" s="342">
        <f>IF(K31&lt;-1,(2*AVERAGE($N$29:$N$32)),N31)</f>
        <v>5.6424693877551016E-2</v>
      </c>
      <c r="P31" s="203">
        <v>80</v>
      </c>
      <c r="Q31" s="203">
        <f>'Invoer en resultaat'!$H$9</f>
        <v>100</v>
      </c>
      <c r="R31" s="203">
        <f t="shared" si="8"/>
        <v>20</v>
      </c>
      <c r="S31" s="360">
        <f t="shared" si="6"/>
        <v>1</v>
      </c>
      <c r="T31" s="354">
        <v>0.1</v>
      </c>
      <c r="U31" s="190">
        <v>0</v>
      </c>
      <c r="W31" s="140" t="s">
        <v>162</v>
      </c>
      <c r="X31" s="140"/>
      <c r="Y31" s="140" t="str">
        <f>'MKI-waarden'!$A$31</f>
        <v>Damwand, Beton</v>
      </c>
    </row>
    <row r="32" spans="1:25" s="220" customFormat="1" ht="14.25" customHeight="1" x14ac:dyDescent="0.2">
      <c r="A32" s="208">
        <f>C32</f>
        <v>1</v>
      </c>
      <c r="B32" s="252" t="s">
        <v>177</v>
      </c>
      <c r="C32" s="253">
        <f>IF(B32=B31,C31,C31+1)</f>
        <v>1</v>
      </c>
      <c r="D32" s="254">
        <f>F32</f>
        <v>3</v>
      </c>
      <c r="E32" s="220" t="s">
        <v>8</v>
      </c>
      <c r="F32" s="255">
        <f>IF(E32=E31,F31,F31+1)</f>
        <v>3</v>
      </c>
      <c r="G32" s="256"/>
      <c r="H32" s="220" t="s">
        <v>101</v>
      </c>
      <c r="I32" s="321">
        <v>28</v>
      </c>
      <c r="J32" s="228" t="s">
        <v>49</v>
      </c>
      <c r="K32" s="297">
        <f>1-(N32/AVERAGE($N$29:$N$32))</f>
        <v>-1.4350069089679476</v>
      </c>
      <c r="L32" s="331">
        <f>IF(K32&gt;-1,1-(O32/AVERAGE($O$29:$O$32)),1-(O32/AVERAGE($N$29:$N$32)))</f>
        <v>-1</v>
      </c>
      <c r="M32" s="345">
        <f>T32/'MKI-waarden'!N72*'MKI-waarden'!D72</f>
        <v>60.244762499999993</v>
      </c>
      <c r="N32" s="345">
        <f>IFERROR(IF(Q32&lt;P32,M32/Q32,M32/P32),"")</f>
        <v>0.75305953124999991</v>
      </c>
      <c r="O32" s="345">
        <f>IF(K32&lt;-1,(2*AVERAGE($N$29:$N$32)),N32)</f>
        <v>0.61852763413240286</v>
      </c>
      <c r="P32" s="216">
        <v>80</v>
      </c>
      <c r="Q32" s="216">
        <f>'Invoer en resultaat'!$H$9</f>
        <v>100</v>
      </c>
      <c r="R32" s="216">
        <f>Q32-P32</f>
        <v>20</v>
      </c>
      <c r="S32" s="361">
        <f>IF(Q32&lt;P32,0,ROUNDDOWN(Q32/P32-0.01,0))</f>
        <v>1</v>
      </c>
      <c r="T32" s="359">
        <v>0.3</v>
      </c>
      <c r="U32" s="217"/>
      <c r="V32" s="229"/>
      <c r="W32" s="229" t="s">
        <v>550</v>
      </c>
      <c r="X32" s="229"/>
      <c r="Y32" s="229" t="str">
        <f>'MKI-waarden'!A72</f>
        <v>Grout injectielaag</v>
      </c>
    </row>
    <row r="33" spans="1:25" s="510" customFormat="1" x14ac:dyDescent="0.2">
      <c r="A33" s="494">
        <f>C33</f>
        <v>1</v>
      </c>
      <c r="B33" s="495" t="str">
        <f>B32</f>
        <v>Peilscheiding,Stuw, Damwand</v>
      </c>
      <c r="C33" s="496">
        <f>IF(B33=B32,C32,C32+1)</f>
        <v>1</v>
      </c>
      <c r="D33" s="497">
        <f>F33</f>
        <v>3</v>
      </c>
      <c r="E33" s="515" t="str">
        <f>E32</f>
        <v>ankerschot</v>
      </c>
      <c r="F33" s="499">
        <f>IF(E33=E32,F32,F32+1)</f>
        <v>3</v>
      </c>
      <c r="G33" s="512"/>
      <c r="H33" s="515" t="s">
        <v>669</v>
      </c>
      <c r="I33" s="321">
        <v>29</v>
      </c>
      <c r="J33" s="501" t="s">
        <v>49</v>
      </c>
      <c r="K33" s="502"/>
      <c r="L33" s="503"/>
      <c r="M33" s="504"/>
      <c r="N33" s="504"/>
      <c r="O33" s="504"/>
      <c r="P33" s="505">
        <v>50</v>
      </c>
      <c r="Q33" s="513">
        <f>'Invoer en resultaat'!$H$9</f>
        <v>100</v>
      </c>
      <c r="R33" s="513">
        <f>Q33-P33</f>
        <v>50</v>
      </c>
      <c r="S33" s="514">
        <f>IF(Q33&lt;P33,0,ROUNDDOWN(Q33/P33-0.01,0))</f>
        <v>1</v>
      </c>
      <c r="T33" s="506"/>
      <c r="U33" s="507"/>
      <c r="V33" s="508" t="s">
        <v>668</v>
      </c>
      <c r="W33" s="509"/>
      <c r="X33" s="509"/>
      <c r="Y33" s="509"/>
    </row>
    <row r="34" spans="1:25" s="205" customFormat="1" ht="14.25" customHeight="1" x14ac:dyDescent="0.2">
      <c r="A34" s="196">
        <f t="shared" si="0"/>
        <v>1</v>
      </c>
      <c r="B34" s="197" t="s">
        <v>177</v>
      </c>
      <c r="C34" s="198">
        <f>IF(B34=B32,C32,C32+1)</f>
        <v>1</v>
      </c>
      <c r="D34" s="199">
        <f t="shared" si="2"/>
        <v>4</v>
      </c>
      <c r="E34" s="175" t="s">
        <v>9</v>
      </c>
      <c r="F34" s="200">
        <f>IF(E34=E32,F32,F32+1)</f>
        <v>4</v>
      </c>
      <c r="G34" s="201"/>
      <c r="H34" s="175" t="s">
        <v>13</v>
      </c>
      <c r="I34" s="321">
        <v>30</v>
      </c>
      <c r="J34" s="202" t="s">
        <v>49</v>
      </c>
      <c r="K34" s="292">
        <f t="shared" ref="K34:K41" si="23">1-(N34/AVERAGE($N$34:$N$41))</f>
        <v>-2.0884872218470019E-2</v>
      </c>
      <c r="L34" s="331">
        <f t="shared" ref="L34:L41" si="24">IF(K34&gt;-1,1-(O34/AVERAGE($O$34:$O$41)),1-(O34/AVERAGE($N$34:$N$41)))</f>
        <v>-2.0884872218470019E-2</v>
      </c>
      <c r="M34" s="342">
        <f>T34*'MKI-waarden'!$D$28</f>
        <v>5.1913466666666661</v>
      </c>
      <c r="N34" s="342">
        <f t="shared" si="7"/>
        <v>0.25956733333333332</v>
      </c>
      <c r="O34" s="342">
        <f t="shared" ref="O34:O41" si="25">IF(K34&lt;-1,(2*AVERAGE($N$34:$N$41)),N34)</f>
        <v>0.25956733333333332</v>
      </c>
      <c r="P34" s="203">
        <v>20</v>
      </c>
      <c r="Q34" s="203">
        <f>'Invoer en resultaat'!$H$9</f>
        <v>100</v>
      </c>
      <c r="R34" s="203">
        <f t="shared" si="8"/>
        <v>80</v>
      </c>
      <c r="S34" s="357">
        <f t="shared" si="6"/>
        <v>4</v>
      </c>
      <c r="T34" s="354">
        <v>0.08</v>
      </c>
      <c r="U34" s="190">
        <v>0</v>
      </c>
      <c r="V34" s="174"/>
      <c r="W34" s="140"/>
      <c r="X34" s="140"/>
      <c r="Y34" s="140" t="str">
        <f>'MKI-waarden'!$A$29</f>
        <v>Damwand, tropisch hardhout, damwandplanken</v>
      </c>
    </row>
    <row r="35" spans="1:25" s="205" customFormat="1" ht="14.25" customHeight="1" x14ac:dyDescent="0.2">
      <c r="A35" s="196">
        <f t="shared" si="0"/>
        <v>1</v>
      </c>
      <c r="B35" s="197" t="s">
        <v>177</v>
      </c>
      <c r="C35" s="198">
        <f t="shared" si="21"/>
        <v>1</v>
      </c>
      <c r="D35" s="199">
        <f t="shared" si="2"/>
        <v>4</v>
      </c>
      <c r="E35" s="175" t="s">
        <v>9</v>
      </c>
      <c r="F35" s="200">
        <f t="shared" si="22"/>
        <v>4</v>
      </c>
      <c r="G35" s="201"/>
      <c r="H35" s="175" t="s">
        <v>111</v>
      </c>
      <c r="I35" s="321">
        <v>31</v>
      </c>
      <c r="J35" s="202" t="s">
        <v>49</v>
      </c>
      <c r="K35" s="292">
        <f t="shared" si="23"/>
        <v>-0.72067232020631455</v>
      </c>
      <c r="L35" s="331">
        <f t="shared" si="24"/>
        <v>-0.72067232020631455</v>
      </c>
      <c r="M35" s="342">
        <f>T35/'MKI-waarden'!$N$42*'MKI-waarden'!$D$42</f>
        <v>13.124799999999999</v>
      </c>
      <c r="N35" s="342">
        <f t="shared" si="7"/>
        <v>0.43749333333333329</v>
      </c>
      <c r="O35" s="342">
        <f t="shared" si="25"/>
        <v>0.43749333333333329</v>
      </c>
      <c r="P35" s="203">
        <v>30</v>
      </c>
      <c r="Q35" s="203">
        <f>'Invoer en resultaat'!$H$9</f>
        <v>100</v>
      </c>
      <c r="R35" s="203">
        <f t="shared" si="8"/>
        <v>70</v>
      </c>
      <c r="S35" s="357">
        <f t="shared" si="6"/>
        <v>3</v>
      </c>
      <c r="T35" s="354">
        <v>0.02</v>
      </c>
      <c r="U35" s="190">
        <v>0</v>
      </c>
      <c r="V35" s="174"/>
      <c r="W35" s="140"/>
      <c r="X35" s="140"/>
      <c r="Y35" s="140" t="str">
        <f>'MKI-waarden'!A42</f>
        <v>Damwand PCV nieuw</v>
      </c>
    </row>
    <row r="36" spans="1:25" s="205" customFormat="1" ht="14.25" customHeight="1" x14ac:dyDescent="0.2">
      <c r="A36" s="196">
        <f t="shared" si="0"/>
        <v>1</v>
      </c>
      <c r="B36" s="197" t="s">
        <v>177</v>
      </c>
      <c r="C36" s="198">
        <f t="shared" si="21"/>
        <v>1</v>
      </c>
      <c r="D36" s="199">
        <f t="shared" si="2"/>
        <v>4</v>
      </c>
      <c r="E36" s="175" t="s">
        <v>9</v>
      </c>
      <c r="F36" s="200">
        <f t="shared" si="22"/>
        <v>4</v>
      </c>
      <c r="G36" s="201"/>
      <c r="H36" s="175" t="s">
        <v>112</v>
      </c>
      <c r="I36" s="321">
        <v>32</v>
      </c>
      <c r="J36" s="202" t="s">
        <v>49</v>
      </c>
      <c r="K36" s="292">
        <f t="shared" si="23"/>
        <v>-0.25793928283591594</v>
      </c>
      <c r="L36" s="331">
        <f t="shared" si="24"/>
        <v>-0.25793928283591594</v>
      </c>
      <c r="M36" s="342">
        <f>T36/'MKI-waarden'!$N$41*'MKI-waarden'!$D$41</f>
        <v>9.5952037499999996</v>
      </c>
      <c r="N36" s="342">
        <f t="shared" si="7"/>
        <v>0.31984012499999998</v>
      </c>
      <c r="O36" s="342">
        <f t="shared" si="25"/>
        <v>0.31984012499999998</v>
      </c>
      <c r="P36" s="203">
        <v>30</v>
      </c>
      <c r="Q36" s="203">
        <f>'Invoer en resultaat'!$H$9</f>
        <v>100</v>
      </c>
      <c r="R36" s="203">
        <f t="shared" si="8"/>
        <v>70</v>
      </c>
      <c r="S36" s="357">
        <f t="shared" si="6"/>
        <v>3</v>
      </c>
      <c r="T36" s="354">
        <v>0.02</v>
      </c>
      <c r="U36" s="190">
        <v>0</v>
      </c>
      <c r="W36" s="140"/>
      <c r="X36" s="184"/>
      <c r="Y36" s="140" t="str">
        <f>'MKI-waarden'!A41</f>
        <v>Damwand PVC Gerecycled, enkel scherm (ProLock, Omega)</v>
      </c>
    </row>
    <row r="37" spans="1:25" s="205" customFormat="1" ht="14.25" customHeight="1" x14ac:dyDescent="0.2">
      <c r="A37" s="196">
        <f t="shared" si="0"/>
        <v>1</v>
      </c>
      <c r="B37" s="197" t="s">
        <v>177</v>
      </c>
      <c r="C37" s="198">
        <f t="shared" si="21"/>
        <v>1</v>
      </c>
      <c r="D37" s="199">
        <f t="shared" si="2"/>
        <v>4</v>
      </c>
      <c r="E37" s="175" t="s">
        <v>9</v>
      </c>
      <c r="F37" s="200">
        <f t="shared" si="22"/>
        <v>4</v>
      </c>
      <c r="G37" s="201"/>
      <c r="H37" s="175" t="s">
        <v>113</v>
      </c>
      <c r="I37" s="321">
        <v>33</v>
      </c>
      <c r="J37" s="202" t="s">
        <v>49</v>
      </c>
      <c r="K37" s="292">
        <f t="shared" si="23"/>
        <v>-0.47727967554638595</v>
      </c>
      <c r="L37" s="331">
        <f t="shared" si="24"/>
        <v>-0.47727967554638595</v>
      </c>
      <c r="M37" s="342">
        <f>T37/'MKI-waarden'!N43*'MKI-waarden'!D43</f>
        <v>18.780449999999998</v>
      </c>
      <c r="N37" s="342">
        <f t="shared" si="7"/>
        <v>0.37560899999999997</v>
      </c>
      <c r="O37" s="342">
        <f t="shared" si="25"/>
        <v>0.37560899999999997</v>
      </c>
      <c r="P37" s="203">
        <v>50</v>
      </c>
      <c r="Q37" s="203">
        <f>'Invoer en resultaat'!$H$9</f>
        <v>100</v>
      </c>
      <c r="R37" s="203">
        <f t="shared" si="8"/>
        <v>50</v>
      </c>
      <c r="S37" s="357">
        <f t="shared" si="6"/>
        <v>1</v>
      </c>
      <c r="T37" s="354">
        <v>0.03</v>
      </c>
      <c r="U37" s="190">
        <v>0</v>
      </c>
      <c r="W37" s="140"/>
      <c r="X37" s="184"/>
      <c r="Y37" s="140" t="str">
        <f>'MKI-waarden'!A43</f>
        <v>Damwand PE nieuw</v>
      </c>
    </row>
    <row r="38" spans="1:25" s="205" customFormat="1" ht="14.25" customHeight="1" x14ac:dyDescent="0.2">
      <c r="A38" s="196">
        <f t="shared" si="0"/>
        <v>1</v>
      </c>
      <c r="B38" s="197" t="s">
        <v>177</v>
      </c>
      <c r="C38" s="198">
        <f t="shared" si="21"/>
        <v>1</v>
      </c>
      <c r="D38" s="199">
        <f t="shared" si="2"/>
        <v>4</v>
      </c>
      <c r="E38" s="175" t="s">
        <v>9</v>
      </c>
      <c r="F38" s="200">
        <f t="shared" si="22"/>
        <v>4</v>
      </c>
      <c r="G38" s="201"/>
      <c r="H38" s="175" t="s">
        <v>114</v>
      </c>
      <c r="I38" s="321">
        <v>34</v>
      </c>
      <c r="J38" s="202" t="s">
        <v>49</v>
      </c>
      <c r="K38" s="292">
        <f t="shared" si="23"/>
        <v>-0.13214535455232435</v>
      </c>
      <c r="L38" s="331">
        <f t="shared" si="24"/>
        <v>-0.13214535455232435</v>
      </c>
      <c r="M38" s="342">
        <f>T38/'MKI-waarden'!N44*'MKI-waarden'!D44</f>
        <v>14.392805624999999</v>
      </c>
      <c r="N38" s="342">
        <f t="shared" si="7"/>
        <v>0.28785611249999998</v>
      </c>
      <c r="O38" s="342">
        <f t="shared" si="25"/>
        <v>0.28785611249999998</v>
      </c>
      <c r="P38" s="203">
        <v>50</v>
      </c>
      <c r="Q38" s="203">
        <f>'Invoer en resultaat'!$H$9</f>
        <v>100</v>
      </c>
      <c r="R38" s="203">
        <f t="shared" si="8"/>
        <v>50</v>
      </c>
      <c r="S38" s="357">
        <f t="shared" si="6"/>
        <v>1</v>
      </c>
      <c r="T38" s="354">
        <v>0.03</v>
      </c>
      <c r="U38" s="190">
        <v>0</v>
      </c>
      <c r="W38" s="140"/>
      <c r="X38" s="184"/>
      <c r="Y38" s="140" t="str">
        <f>'MKI-waarden'!A44</f>
        <v>Damwand PE gerecycled</v>
      </c>
    </row>
    <row r="39" spans="1:25" s="205" customFormat="1" ht="14.25" customHeight="1" x14ac:dyDescent="0.2">
      <c r="A39" s="196">
        <f t="shared" si="0"/>
        <v>1</v>
      </c>
      <c r="B39" s="197" t="s">
        <v>177</v>
      </c>
      <c r="C39" s="198">
        <f t="shared" si="21"/>
        <v>1</v>
      </c>
      <c r="D39" s="199">
        <f t="shared" si="2"/>
        <v>4</v>
      </c>
      <c r="E39" s="175" t="s">
        <v>9</v>
      </c>
      <c r="F39" s="200">
        <f t="shared" si="22"/>
        <v>4</v>
      </c>
      <c r="G39" s="201"/>
      <c r="H39" s="205" t="s">
        <v>39</v>
      </c>
      <c r="I39" s="321">
        <v>35</v>
      </c>
      <c r="J39" s="202" t="s">
        <v>49</v>
      </c>
      <c r="K39" s="292">
        <f t="shared" si="23"/>
        <v>0.97415353471348021</v>
      </c>
      <c r="L39" s="331">
        <f t="shared" si="24"/>
        <v>0.97415353471348021</v>
      </c>
      <c r="M39" s="342">
        <f>Database!T39/'MKI-waarden'!$N$18*'MKI-waarden'!$D$18</f>
        <v>0.65716499999999989</v>
      </c>
      <c r="N39" s="342">
        <f t="shared" si="7"/>
        <v>6.5716499999999992E-3</v>
      </c>
      <c r="O39" s="342">
        <f t="shared" si="25"/>
        <v>6.5716499999999992E-3</v>
      </c>
      <c r="P39" s="203">
        <v>100</v>
      </c>
      <c r="Q39" s="203">
        <f>'Invoer en resultaat'!$H$9</f>
        <v>100</v>
      </c>
      <c r="R39" s="203">
        <f t="shared" si="8"/>
        <v>0</v>
      </c>
      <c r="S39" s="357">
        <f t="shared" si="6"/>
        <v>0</v>
      </c>
      <c r="T39" s="354">
        <v>0.1</v>
      </c>
      <c r="U39" s="190">
        <v>0</v>
      </c>
      <c r="V39" s="174" t="s">
        <v>414</v>
      </c>
      <c r="W39" s="390" t="s">
        <v>551</v>
      </c>
      <c r="X39" s="140"/>
      <c r="Y39" s="140" t="str">
        <f>'MKI-waarden'!A18</f>
        <v>Bekleding, waterbouw steenbreuksteen natuursteen</v>
      </c>
    </row>
    <row r="40" spans="1:25" s="205" customFormat="1" ht="14.25" customHeight="1" x14ac:dyDescent="0.2">
      <c r="A40" s="196">
        <f t="shared" si="0"/>
        <v>1</v>
      </c>
      <c r="B40" s="197" t="s">
        <v>177</v>
      </c>
      <c r="C40" s="198">
        <f t="shared" si="21"/>
        <v>1</v>
      </c>
      <c r="D40" s="199">
        <f t="shared" si="2"/>
        <v>4</v>
      </c>
      <c r="E40" s="175" t="s">
        <v>9</v>
      </c>
      <c r="F40" s="200">
        <f t="shared" si="22"/>
        <v>4</v>
      </c>
      <c r="G40" s="201"/>
      <c r="H40" s="205" t="s">
        <v>4</v>
      </c>
      <c r="I40" s="321">
        <v>36</v>
      </c>
      <c r="J40" s="202" t="s">
        <v>49</v>
      </c>
      <c r="K40" s="292">
        <f t="shared" si="23"/>
        <v>-8.1174755874952043E-2</v>
      </c>
      <c r="L40" s="331">
        <f t="shared" si="24"/>
        <v>-8.1174755874952043E-2</v>
      </c>
      <c r="M40" s="342">
        <f>T40/'MKI-waarden'!$N$39*'MKI-waarden'!$D$39</f>
        <v>20.617235294117645</v>
      </c>
      <c r="N40" s="342">
        <f t="shared" si="7"/>
        <v>0.27489647058823524</v>
      </c>
      <c r="O40" s="342">
        <f t="shared" si="25"/>
        <v>0.27489647058823524</v>
      </c>
      <c r="P40" s="206">
        <v>75</v>
      </c>
      <c r="Q40" s="203">
        <f>'Invoer en resultaat'!$H$9</f>
        <v>100</v>
      </c>
      <c r="R40" s="203">
        <f t="shared" si="8"/>
        <v>25</v>
      </c>
      <c r="S40" s="357">
        <f t="shared" si="6"/>
        <v>1</v>
      </c>
      <c r="T40" s="354">
        <v>0.01</v>
      </c>
      <c r="U40" s="190">
        <v>0</v>
      </c>
      <c r="V40" s="174"/>
      <c r="W40" s="140"/>
      <c r="X40" s="140"/>
      <c r="Y40" s="140" t="str">
        <f>'MKI-waarden'!A39</f>
        <v>Damwand Staal, constructiestaal</v>
      </c>
    </row>
    <row r="41" spans="1:25" s="205" customFormat="1" ht="14.25" customHeight="1" x14ac:dyDescent="0.2">
      <c r="A41" s="196">
        <f>C41</f>
        <v>1</v>
      </c>
      <c r="B41" s="197" t="s">
        <v>177</v>
      </c>
      <c r="C41" s="198">
        <f>IF(B41=B40,C40,C40+1)</f>
        <v>1</v>
      </c>
      <c r="D41" s="199">
        <f>F41</f>
        <v>4</v>
      </c>
      <c r="E41" s="175" t="s">
        <v>9</v>
      </c>
      <c r="F41" s="200">
        <f>IF(E41=E40,F40,F40+1)</f>
        <v>4</v>
      </c>
      <c r="G41" s="201"/>
      <c r="H41" s="175" t="s">
        <v>1</v>
      </c>
      <c r="I41" s="321">
        <v>37</v>
      </c>
      <c r="J41" s="202" t="s">
        <v>49</v>
      </c>
      <c r="K41" s="292">
        <f t="shared" si="23"/>
        <v>0.71594272652088242</v>
      </c>
      <c r="L41" s="331">
        <f t="shared" si="24"/>
        <v>0.71594272652088242</v>
      </c>
      <c r="M41" s="342">
        <f>T41/'MKI-waarden'!$N$31*'MKI-waarden'!$D$31</f>
        <v>5.4167706122448971</v>
      </c>
      <c r="N41" s="342">
        <f>IFERROR(IF(Q41&lt;P41,M41/Q41,M41/P41),"")</f>
        <v>7.2223608163265299E-2</v>
      </c>
      <c r="O41" s="342">
        <f t="shared" si="25"/>
        <v>7.2223608163265299E-2</v>
      </c>
      <c r="P41" s="206">
        <v>75</v>
      </c>
      <c r="Q41" s="203">
        <f>'Invoer en resultaat'!$H$9</f>
        <v>100</v>
      </c>
      <c r="R41" s="203">
        <f>Q41-P41</f>
        <v>25</v>
      </c>
      <c r="S41" s="357">
        <f>IF(Q41&lt;P41,0,ROUNDDOWN(Q41/P41-0.01,0))</f>
        <v>1</v>
      </c>
      <c r="T41" s="354">
        <v>0.12</v>
      </c>
      <c r="U41" s="190">
        <v>0</v>
      </c>
      <c r="V41" s="174"/>
      <c r="W41" s="140"/>
      <c r="X41" s="140"/>
      <c r="Y41" s="140" t="str">
        <f>'MKI-waarden'!A31</f>
        <v>Damwand, Beton</v>
      </c>
    </row>
    <row r="42" spans="1:25" s="510" customFormat="1" x14ac:dyDescent="0.2">
      <c r="A42" s="494">
        <f>C42</f>
        <v>1</v>
      </c>
      <c r="B42" s="495" t="str">
        <f>B41</f>
        <v>Peilscheiding,Stuw, Damwand</v>
      </c>
      <c r="C42" s="496">
        <f>IF(B42=B41,C41,C41+1)</f>
        <v>1</v>
      </c>
      <c r="D42" s="497">
        <f>F42</f>
        <v>4</v>
      </c>
      <c r="E42" s="498" t="str">
        <f>E41</f>
        <v>deksloof</v>
      </c>
      <c r="F42" s="499">
        <f>IF(E42=E41,F41,F41+1)</f>
        <v>4</v>
      </c>
      <c r="G42" s="500"/>
      <c r="H42" s="500" t="s">
        <v>669</v>
      </c>
      <c r="I42" s="321">
        <v>38</v>
      </c>
      <c r="J42" s="501" t="s">
        <v>49</v>
      </c>
      <c r="K42" s="502"/>
      <c r="L42" s="503"/>
      <c r="M42" s="504"/>
      <c r="N42" s="504"/>
      <c r="O42" s="504"/>
      <c r="P42" s="505">
        <v>50</v>
      </c>
      <c r="Q42" s="513">
        <f>'Invoer en resultaat'!$H$9</f>
        <v>100</v>
      </c>
      <c r="R42" s="513">
        <f>Q42-P42</f>
        <v>50</v>
      </c>
      <c r="S42" s="514">
        <f>IF(Q42&lt;P42,0,ROUNDDOWN(Q42/P42-0.01,0))</f>
        <v>1</v>
      </c>
      <c r="T42" s="506"/>
      <c r="U42" s="507"/>
      <c r="V42" s="508" t="s">
        <v>668</v>
      </c>
      <c r="W42" s="509"/>
      <c r="X42" s="509"/>
      <c r="Y42" s="509"/>
    </row>
    <row r="43" spans="1:25" s="205" customFormat="1" ht="14.25" customHeight="1" x14ac:dyDescent="0.2">
      <c r="A43" s="196">
        <f t="shared" si="0"/>
        <v>2</v>
      </c>
      <c r="B43" s="197" t="s">
        <v>58</v>
      </c>
      <c r="C43" s="198">
        <f>IF(B43=B41,C41,C41+1)</f>
        <v>2</v>
      </c>
      <c r="D43" s="199">
        <f t="shared" si="2"/>
        <v>5</v>
      </c>
      <c r="E43" s="175" t="s">
        <v>20</v>
      </c>
      <c r="F43" s="200">
        <f>IF(E43=E41,F41,F41+1)</f>
        <v>5</v>
      </c>
      <c r="G43" s="201"/>
      <c r="H43" s="175" t="s">
        <v>163</v>
      </c>
      <c r="I43" s="321">
        <v>39</v>
      </c>
      <c r="J43" s="202" t="s">
        <v>49</v>
      </c>
      <c r="K43" s="292">
        <f>1-(N43/AVERAGE($N$43:$N$44))</f>
        <v>-0.29894729829369249</v>
      </c>
      <c r="L43" s="331">
        <f>IF(K43&gt;-1,1-(O43/AVERAGE($O$43:$O$44)),1-(O43/AVERAGE($N$43:$N$44)))</f>
        <v>-0.29894729829369249</v>
      </c>
      <c r="M43" s="342">
        <f>T43/'MKI-waarden'!N46*'MKI-waarden'!D46</f>
        <v>2.003916666666667</v>
      </c>
      <c r="N43" s="342">
        <f t="shared" si="7"/>
        <v>0.20039166666666669</v>
      </c>
      <c r="O43" s="342">
        <f>IF(K43&lt;-1,(2*AVERAGE($N$43:$N$44)),N43)</f>
        <v>0.20039166666666669</v>
      </c>
      <c r="P43" s="203">
        <v>10</v>
      </c>
      <c r="Q43" s="203">
        <f>'Invoer en resultaat'!$H$9</f>
        <v>100</v>
      </c>
      <c r="R43" s="203">
        <f t="shared" si="8"/>
        <v>90</v>
      </c>
      <c r="S43" s="357">
        <f t="shared" si="6"/>
        <v>9</v>
      </c>
      <c r="T43" s="354">
        <v>0.1</v>
      </c>
      <c r="U43" s="190">
        <v>0</v>
      </c>
      <c r="V43" s="174"/>
      <c r="W43" s="140"/>
      <c r="X43" s="140"/>
      <c r="Y43" s="140" t="str">
        <f>'MKI-waarden'!A46</f>
        <v>Vlechtscherm, zachthout (o.b.v. Europees Naaldhout planken)</v>
      </c>
    </row>
    <row r="44" spans="1:25" s="220" customFormat="1" ht="14.25" customHeight="1" x14ac:dyDescent="0.2">
      <c r="A44" s="208">
        <f t="shared" si="0"/>
        <v>2</v>
      </c>
      <c r="B44" s="209" t="s">
        <v>58</v>
      </c>
      <c r="C44" s="210">
        <f t="shared" si="21"/>
        <v>2</v>
      </c>
      <c r="D44" s="211">
        <f t="shared" si="2"/>
        <v>5</v>
      </c>
      <c r="E44" s="212" t="s">
        <v>20</v>
      </c>
      <c r="F44" s="213">
        <f t="shared" si="22"/>
        <v>5</v>
      </c>
      <c r="G44" s="214"/>
      <c r="H44" s="220" t="s">
        <v>13</v>
      </c>
      <c r="I44" s="321">
        <v>40</v>
      </c>
      <c r="J44" s="215" t="s">
        <v>49</v>
      </c>
      <c r="K44" s="296">
        <f>1-(N44/AVERAGE($N$43:$N$44))</f>
        <v>0.29894729829369249</v>
      </c>
      <c r="L44" s="331">
        <f>IF(K44&gt;-1,1-(O44/AVERAGE($O$43:$O$44)),1-(O44/AVERAGE($N$43:$N$44)))</f>
        <v>0.29894729829369249</v>
      </c>
      <c r="M44" s="345">
        <f>T44/'MKI-waarden'!$N$29*'MKI-waarden'!$D$29</f>
        <v>1.622295833333333</v>
      </c>
      <c r="N44" s="345">
        <f t="shared" si="7"/>
        <v>0.10815305555555553</v>
      </c>
      <c r="O44" s="345">
        <f>IF(K44&lt;-1,(2*AVERAGE($N$43:$N$44)),N44)</f>
        <v>0.10815305555555553</v>
      </c>
      <c r="P44" s="216">
        <v>15</v>
      </c>
      <c r="Q44" s="216">
        <f>'Invoer en resultaat'!$H$9</f>
        <v>100</v>
      </c>
      <c r="R44" s="203">
        <f t="shared" si="8"/>
        <v>85</v>
      </c>
      <c r="S44" s="358">
        <f t="shared" si="6"/>
        <v>6</v>
      </c>
      <c r="T44" s="359">
        <v>2.5000000000000001E-2</v>
      </c>
      <c r="U44" s="217">
        <v>0</v>
      </c>
      <c r="W44" s="229" t="s">
        <v>552</v>
      </c>
      <c r="X44" s="229"/>
      <c r="Y44" s="229" t="str">
        <f>'MKI-waarden'!$A$29</f>
        <v>Damwand, tropisch hardhout, damwandplanken</v>
      </c>
    </row>
    <row r="45" spans="1:25" s="205" customFormat="1" ht="14.25" customHeight="1" x14ac:dyDescent="0.2">
      <c r="A45" s="196">
        <f t="shared" si="0"/>
        <v>2</v>
      </c>
      <c r="B45" s="197" t="s">
        <v>58</v>
      </c>
      <c r="C45" s="198">
        <f t="shared" si="21"/>
        <v>2</v>
      </c>
      <c r="D45" s="199">
        <f t="shared" si="2"/>
        <v>6</v>
      </c>
      <c r="E45" s="175" t="s">
        <v>60</v>
      </c>
      <c r="F45" s="200">
        <f t="shared" si="22"/>
        <v>6</v>
      </c>
      <c r="G45" s="201"/>
      <c r="H45" s="205" t="s">
        <v>44</v>
      </c>
      <c r="I45" s="321">
        <v>41</v>
      </c>
      <c r="J45" s="202" t="s">
        <v>49</v>
      </c>
      <c r="K45" s="292">
        <f>1-(N45/AVERAGE($N$45:$N$46))</f>
        <v>0.40470929068406103</v>
      </c>
      <c r="L45" s="331">
        <f>IF(K45&gt;-1,1-(O45/AVERAGE($O$45:$O$46)),1-(O45/AVERAGE($N$45:$N$46)))</f>
        <v>0.40470929068406103</v>
      </c>
      <c r="M45" s="342">
        <f>T45/'MKI-waarden'!N40*'MKI-waarden'!D40</f>
        <v>0.82500000000000007</v>
      </c>
      <c r="N45" s="342">
        <f t="shared" si="7"/>
        <v>4.1250000000000002E-2</v>
      </c>
      <c r="O45" s="342">
        <f>IF(K45&lt;-1,(2*AVERAGE($N$45:$N$46)),N45)</f>
        <v>4.1250000000000002E-2</v>
      </c>
      <c r="P45" s="203">
        <v>20</v>
      </c>
      <c r="Q45" s="203">
        <f>'Invoer en resultaat'!$H$9</f>
        <v>100</v>
      </c>
      <c r="R45" s="203">
        <f t="shared" si="8"/>
        <v>80</v>
      </c>
      <c r="S45" s="357">
        <f t="shared" si="6"/>
        <v>4</v>
      </c>
      <c r="T45" s="354">
        <v>0.03</v>
      </c>
      <c r="U45" s="190">
        <v>0</v>
      </c>
      <c r="V45" s="174"/>
      <c r="W45" s="140"/>
      <c r="X45" s="140"/>
      <c r="Y45" s="140" t="str">
        <f>'MKI-waarden'!$A$40</f>
        <v>Damwand Twinwood 80% EU naaldhout, 20% azobe hardhout</v>
      </c>
    </row>
    <row r="46" spans="1:25" s="220" customFormat="1" ht="14.25" customHeight="1" x14ac:dyDescent="0.2">
      <c r="A46" s="208">
        <f>C46</f>
        <v>2</v>
      </c>
      <c r="B46" s="209" t="s">
        <v>58</v>
      </c>
      <c r="C46" s="210">
        <f>IF(B46=B45,C45,C45+1)</f>
        <v>2</v>
      </c>
      <c r="D46" s="211">
        <f>F46</f>
        <v>6</v>
      </c>
      <c r="E46" s="212" t="s">
        <v>60</v>
      </c>
      <c r="F46" s="213">
        <f>IF(E46=E45,F45,F45+1)</f>
        <v>6</v>
      </c>
      <c r="G46" s="214"/>
      <c r="H46" s="220" t="s">
        <v>13</v>
      </c>
      <c r="I46" s="321">
        <v>42</v>
      </c>
      <c r="J46" s="215" t="s">
        <v>49</v>
      </c>
      <c r="K46" s="296">
        <f>1-(N46/AVERAGE($N$45:$N$46))</f>
        <v>-0.40470929068406103</v>
      </c>
      <c r="L46" s="331">
        <f>IF(K46&gt;-1,1-(O46/AVERAGE($O$45:$O$46)),1-(O46/AVERAGE($N$45:$N$46)))</f>
        <v>-0.40470929068406103</v>
      </c>
      <c r="M46" s="345">
        <f>T46/'MKI-waarden'!$N$29*'MKI-waarden'!$D$29</f>
        <v>1.9467549999999996</v>
      </c>
      <c r="N46" s="345">
        <f>IFERROR(IF(Q46&lt;P46,M46/Q46,M46/P46),"")</f>
        <v>9.7337749999999973E-2</v>
      </c>
      <c r="O46" s="345">
        <f>IF(K46&lt;-1,(2*AVERAGE($N$45:$N$46)),N46)</f>
        <v>9.7337749999999973E-2</v>
      </c>
      <c r="P46" s="216">
        <v>20</v>
      </c>
      <c r="Q46" s="216">
        <f>'Invoer en resultaat'!$H$9</f>
        <v>100</v>
      </c>
      <c r="R46" s="203">
        <f>Q46-P46</f>
        <v>80</v>
      </c>
      <c r="S46" s="358">
        <f>IF(Q46&lt;P46,0,ROUNDDOWN(Q46/P46-0.01,0))</f>
        <v>4</v>
      </c>
      <c r="T46" s="359">
        <v>0.03</v>
      </c>
      <c r="U46" s="217">
        <v>0</v>
      </c>
      <c r="V46" s="218"/>
      <c r="W46" s="229"/>
      <c r="X46" s="229"/>
      <c r="Y46" s="229" t="str">
        <f>'MKI-waarden'!$A$29</f>
        <v>Damwand, tropisch hardhout, damwandplanken</v>
      </c>
    </row>
    <row r="47" spans="1:25" s="510" customFormat="1" x14ac:dyDescent="0.2">
      <c r="A47" s="494">
        <f>C47</f>
        <v>2</v>
      </c>
      <c r="B47" s="209" t="str">
        <f>B46</f>
        <v>Beschoeiing</v>
      </c>
      <c r="C47" s="496">
        <f>IF(B47=B46,C46,C46+1)</f>
        <v>2</v>
      </c>
      <c r="D47" s="497">
        <f>F47</f>
        <v>6</v>
      </c>
      <c r="E47" s="498" t="str">
        <f>E46</f>
        <v>opgeklampt schot</v>
      </c>
      <c r="F47" s="499">
        <f>IF(E47=E46,F46,F46+1)</f>
        <v>6</v>
      </c>
      <c r="G47" s="500"/>
      <c r="H47" s="500" t="s">
        <v>669</v>
      </c>
      <c r="I47" s="321">
        <v>43</v>
      </c>
      <c r="J47" s="501" t="s">
        <v>49</v>
      </c>
      <c r="K47" s="502"/>
      <c r="L47" s="503"/>
      <c r="M47" s="504"/>
      <c r="N47" s="504"/>
      <c r="O47" s="504"/>
      <c r="P47" s="505">
        <v>50</v>
      </c>
      <c r="Q47" s="513">
        <f>'Invoer en resultaat'!$H$9</f>
        <v>100</v>
      </c>
      <c r="R47" s="513">
        <f>Q47-P47</f>
        <v>50</v>
      </c>
      <c r="S47" s="514">
        <f>IF(Q47&lt;P47,0,ROUNDDOWN(Q47/P47-0.01,0))</f>
        <v>1</v>
      </c>
      <c r="T47" s="506"/>
      <c r="U47" s="507"/>
      <c r="V47" s="508" t="s">
        <v>668</v>
      </c>
      <c r="W47" s="509"/>
      <c r="X47" s="509"/>
      <c r="Y47" s="509"/>
    </row>
    <row r="48" spans="1:25" s="205" customFormat="1" ht="14.25" customHeight="1" x14ac:dyDescent="0.2">
      <c r="A48" s="196">
        <f t="shared" si="0"/>
        <v>2</v>
      </c>
      <c r="B48" s="197" t="s">
        <v>58</v>
      </c>
      <c r="C48" s="198">
        <f>IF(B48=B46,C46,C46+1)</f>
        <v>2</v>
      </c>
      <c r="D48" s="199">
        <f t="shared" si="2"/>
        <v>7</v>
      </c>
      <c r="E48" s="175" t="s">
        <v>61</v>
      </c>
      <c r="F48" s="200">
        <f>IF(E48=E46,F46,F46+1)</f>
        <v>7</v>
      </c>
      <c r="G48" s="201"/>
      <c r="H48" s="175" t="s">
        <v>13</v>
      </c>
      <c r="I48" s="321">
        <v>44</v>
      </c>
      <c r="J48" s="221" t="s">
        <v>50</v>
      </c>
      <c r="K48" s="292">
        <f t="shared" ref="K48:K53" si="26">1-(N48/AVERAGE($N$48:$N$53))</f>
        <v>-0.19323209502327887</v>
      </c>
      <c r="L48" s="331">
        <f t="shared" ref="L48:L53" si="27">IF(K48&gt;-1,1-(O48/AVERAGE($O$48:$O$53)),1-(O48/AVERAGE($N$48:$N$53)))</f>
        <v>-0.19323209502327887</v>
      </c>
      <c r="M48" s="342">
        <f>(PI()*(U48/2)^2)*'MKI-waarden'!D28</f>
        <v>0.73390934476070357</v>
      </c>
      <c r="N48" s="342">
        <f t="shared" si="7"/>
        <v>3.6695467238035177E-2</v>
      </c>
      <c r="O48" s="342">
        <f t="shared" ref="O48:O53" si="28">IF(K48&lt;-1,(2*AVERAGE($N$48:$N$53)),N48)</f>
        <v>3.6695467238035177E-2</v>
      </c>
      <c r="P48" s="203">
        <v>20</v>
      </c>
      <c r="Q48" s="203">
        <f>'Invoer en resultaat'!$H$9</f>
        <v>100</v>
      </c>
      <c r="R48" s="203">
        <f t="shared" si="8"/>
        <v>80</v>
      </c>
      <c r="S48" s="357">
        <f t="shared" si="6"/>
        <v>4</v>
      </c>
      <c r="T48" s="354"/>
      <c r="U48" s="190">
        <v>0.12</v>
      </c>
      <c r="V48" s="140"/>
      <c r="W48" s="140" t="s">
        <v>164</v>
      </c>
      <c r="X48" s="227"/>
      <c r="Y48" s="140" t="s">
        <v>662</v>
      </c>
    </row>
    <row r="49" spans="1:25" s="205" customFormat="1" ht="14.25" customHeight="1" x14ac:dyDescent="0.2">
      <c r="A49" s="196">
        <f t="shared" si="0"/>
        <v>2</v>
      </c>
      <c r="B49" s="197" t="s">
        <v>58</v>
      </c>
      <c r="C49" s="198">
        <f t="shared" si="21"/>
        <v>2</v>
      </c>
      <c r="D49" s="199">
        <f t="shared" si="2"/>
        <v>7</v>
      </c>
      <c r="E49" s="175" t="s">
        <v>61</v>
      </c>
      <c r="F49" s="200">
        <f t="shared" si="22"/>
        <v>7</v>
      </c>
      <c r="G49" s="201"/>
      <c r="H49" s="175" t="s">
        <v>106</v>
      </c>
      <c r="I49" s="321">
        <v>45</v>
      </c>
      <c r="J49" s="202" t="s">
        <v>50</v>
      </c>
      <c r="K49" s="292">
        <f t="shared" si="26"/>
        <v>-0.41432554525479426</v>
      </c>
      <c r="L49" s="331">
        <f t="shared" si="27"/>
        <v>-0.41432554525479426</v>
      </c>
      <c r="M49" s="342">
        <f>(PI()*(U49/2)^2)*('MKI-waarden'!D101)</f>
        <v>1.7397901691137814</v>
      </c>
      <c r="N49" s="342">
        <f t="shared" si="7"/>
        <v>4.3494754227844531E-2</v>
      </c>
      <c r="O49" s="342">
        <f t="shared" si="28"/>
        <v>4.3494754227844531E-2</v>
      </c>
      <c r="P49" s="203">
        <v>40</v>
      </c>
      <c r="Q49" s="203">
        <f>'Invoer en resultaat'!$H$9</f>
        <v>100</v>
      </c>
      <c r="R49" s="203">
        <f t="shared" si="8"/>
        <v>60</v>
      </c>
      <c r="S49" s="357">
        <f t="shared" si="6"/>
        <v>2</v>
      </c>
      <c r="T49" s="354"/>
      <c r="U49" s="190">
        <v>0.1</v>
      </c>
      <c r="W49" s="140" t="s">
        <v>164</v>
      </c>
      <c r="X49" s="184"/>
      <c r="Y49" s="140" t="str">
        <f>'MKI-waarden'!A101</f>
        <v>Reflectorpalen PE</v>
      </c>
    </row>
    <row r="50" spans="1:25" s="205" customFormat="1" ht="14.25" customHeight="1" x14ac:dyDescent="0.2">
      <c r="A50" s="196">
        <f t="shared" si="0"/>
        <v>2</v>
      </c>
      <c r="B50" s="197" t="s">
        <v>58</v>
      </c>
      <c r="C50" s="198">
        <f t="shared" si="21"/>
        <v>2</v>
      </c>
      <c r="D50" s="199">
        <f t="shared" si="2"/>
        <v>7</v>
      </c>
      <c r="E50" s="175" t="s">
        <v>61</v>
      </c>
      <c r="F50" s="200">
        <f t="shared" si="22"/>
        <v>7</v>
      </c>
      <c r="G50" s="201"/>
      <c r="H50" s="175" t="s">
        <v>660</v>
      </c>
      <c r="I50" s="321">
        <v>46</v>
      </c>
      <c r="J50" s="202" t="s">
        <v>50</v>
      </c>
      <c r="K50" s="292">
        <f t="shared" si="26"/>
        <v>0.40295003095035964</v>
      </c>
      <c r="L50" s="331">
        <f t="shared" si="27"/>
        <v>0.40295003095035964</v>
      </c>
      <c r="M50" s="342">
        <f>'MKI-waarden'!$D$38/'MKI-waarden'!$D$126*Database!M51</f>
        <v>0.91805390041505586</v>
      </c>
      <c r="N50" s="342">
        <f t="shared" si="7"/>
        <v>1.8361078008301116E-2</v>
      </c>
      <c r="O50" s="342">
        <f t="shared" si="28"/>
        <v>1.8361078008301116E-2</v>
      </c>
      <c r="P50" s="203">
        <v>50</v>
      </c>
      <c r="Q50" s="203">
        <f>'Invoer en resultaat'!$H$9</f>
        <v>100</v>
      </c>
      <c r="R50" s="203">
        <f t="shared" si="8"/>
        <v>50</v>
      </c>
      <c r="S50" s="357">
        <f t="shared" si="6"/>
        <v>1</v>
      </c>
      <c r="T50" s="354">
        <v>0.01</v>
      </c>
      <c r="U50" s="190">
        <v>0.1</v>
      </c>
      <c r="W50" s="140" t="s">
        <v>261</v>
      </c>
      <c r="X50" s="184"/>
      <c r="Y50" s="140" t="s">
        <v>662</v>
      </c>
    </row>
    <row r="51" spans="1:25" s="205" customFormat="1" ht="14.25" customHeight="1" x14ac:dyDescent="0.2">
      <c r="A51" s="196">
        <f t="shared" ref="A51" si="29">C51</f>
        <v>2</v>
      </c>
      <c r="B51" s="197" t="s">
        <v>58</v>
      </c>
      <c r="C51" s="198">
        <f t="shared" ref="C51" si="30">IF(B51=B50,C50,C50+1)</f>
        <v>2</v>
      </c>
      <c r="D51" s="199">
        <f t="shared" ref="D51" si="31">F51</f>
        <v>7</v>
      </c>
      <c r="E51" s="175" t="s">
        <v>61</v>
      </c>
      <c r="F51" s="200">
        <f t="shared" si="22"/>
        <v>7</v>
      </c>
      <c r="G51" s="201"/>
      <c r="H51" s="175" t="s">
        <v>658</v>
      </c>
      <c r="I51" s="321">
        <v>47</v>
      </c>
      <c r="J51" s="202" t="s">
        <v>50</v>
      </c>
      <c r="K51" s="292">
        <f t="shared" si="26"/>
        <v>0.49214100751625378</v>
      </c>
      <c r="L51" s="331">
        <f t="shared" si="27"/>
        <v>0.49214100751625378</v>
      </c>
      <c r="M51" s="342">
        <f>((PI()*((U51/2)^2))-(PI()*((U51/2-T51)^2)))*'MKI-waarden'!$E$128</f>
        <v>0.78090939298214612</v>
      </c>
      <c r="N51" s="342">
        <f t="shared" si="7"/>
        <v>1.5618187859642923E-2</v>
      </c>
      <c r="O51" s="342">
        <f t="shared" si="28"/>
        <v>1.5618187859642923E-2</v>
      </c>
      <c r="P51" s="203">
        <v>50</v>
      </c>
      <c r="Q51" s="203">
        <f>'Invoer en resultaat'!$H$9</f>
        <v>100</v>
      </c>
      <c r="R51" s="203">
        <f t="shared" si="8"/>
        <v>50</v>
      </c>
      <c r="S51" s="357">
        <f t="shared" si="6"/>
        <v>1</v>
      </c>
      <c r="T51" s="354">
        <v>0.01</v>
      </c>
      <c r="U51" s="190">
        <v>0.1</v>
      </c>
      <c r="W51" s="140" t="s">
        <v>261</v>
      </c>
      <c r="X51" s="184"/>
      <c r="Y51" s="140" t="str">
        <f>'MKI-waarden'!$A$128</f>
        <v>GVK, glasvezels in polyester, biobased hars</v>
      </c>
    </row>
    <row r="52" spans="1:25" s="205" customFormat="1" ht="14.25" customHeight="1" x14ac:dyDescent="0.2">
      <c r="A52" s="196">
        <f t="shared" si="0"/>
        <v>2</v>
      </c>
      <c r="B52" s="197" t="s">
        <v>58</v>
      </c>
      <c r="C52" s="198">
        <v>2</v>
      </c>
      <c r="D52" s="199">
        <f t="shared" ref="D52:D60" si="32">F52</f>
        <v>7</v>
      </c>
      <c r="E52" s="175" t="s">
        <v>61</v>
      </c>
      <c r="F52" s="200">
        <f>IF(E52=E50,F50,F50+1)</f>
        <v>7</v>
      </c>
      <c r="G52" s="201"/>
      <c r="H52" s="175" t="s">
        <v>105</v>
      </c>
      <c r="I52" s="321">
        <v>48</v>
      </c>
      <c r="J52" s="202" t="s">
        <v>50</v>
      </c>
      <c r="K52" s="292">
        <f t="shared" si="26"/>
        <v>0.46524091127273215</v>
      </c>
      <c r="L52" s="331">
        <f t="shared" si="27"/>
        <v>0.46524091127273215</v>
      </c>
      <c r="M52" s="342">
        <f>((PI()*((U52/2)^2))-(PI()*((U52/2-T52)^2)))*'MKI-waarden'!D100</f>
        <v>0.82227232666961469</v>
      </c>
      <c r="N52" s="342">
        <f t="shared" si="7"/>
        <v>1.6445446533392295E-2</v>
      </c>
      <c r="O52" s="342">
        <f t="shared" si="28"/>
        <v>1.6445446533392295E-2</v>
      </c>
      <c r="P52" s="203">
        <v>50</v>
      </c>
      <c r="Q52" s="203">
        <f>'Invoer en resultaat'!$H$9</f>
        <v>100</v>
      </c>
      <c r="R52" s="203">
        <f t="shared" si="8"/>
        <v>50</v>
      </c>
      <c r="S52" s="357">
        <f t="shared" si="6"/>
        <v>1</v>
      </c>
      <c r="T52" s="354">
        <v>0.01</v>
      </c>
      <c r="U52" s="190">
        <v>0.1</v>
      </c>
      <c r="V52" s="140"/>
      <c r="W52" s="140" t="s">
        <v>261</v>
      </c>
      <c r="X52" s="227"/>
      <c r="Y52" s="140" t="str">
        <f>'MKI-waarden'!A100</f>
        <v>Reflectorpalen PVC</v>
      </c>
    </row>
    <row r="53" spans="1:25" s="220" customFormat="1" ht="14.25" customHeight="1" x14ac:dyDescent="0.2">
      <c r="A53" s="208">
        <f>C53</f>
        <v>2</v>
      </c>
      <c r="B53" s="209" t="s">
        <v>58</v>
      </c>
      <c r="C53" s="210">
        <f>IF(B53=B50,C50,C50+1)</f>
        <v>2</v>
      </c>
      <c r="D53" s="211">
        <f>F53</f>
        <v>7</v>
      </c>
      <c r="E53" s="212" t="s">
        <v>61</v>
      </c>
      <c r="F53" s="213">
        <f>IF(E53=E50,F50,F50+1)</f>
        <v>7</v>
      </c>
      <c r="G53" s="214"/>
      <c r="H53" s="220" t="s">
        <v>4</v>
      </c>
      <c r="I53" s="321">
        <v>49</v>
      </c>
      <c r="J53" s="215" t="s">
        <v>50</v>
      </c>
      <c r="K53" s="296">
        <f t="shared" si="26"/>
        <v>-0.75277430946127222</v>
      </c>
      <c r="L53" s="331">
        <f t="shared" si="27"/>
        <v>-0.75277430946127222</v>
      </c>
      <c r="M53" s="345">
        <f>((PI()*((U53/2)^2))-(PI()*((U53/2-T53)^2)))*'MKI-waarden'!D27</f>
        <v>2.6951534624641087</v>
      </c>
      <c r="N53" s="345">
        <f>IFERROR(IF(Q53&lt;P53,M53/Q53,M53/P53),"")</f>
        <v>5.3903069249282176E-2</v>
      </c>
      <c r="O53" s="345">
        <f t="shared" si="28"/>
        <v>5.3903069249282176E-2</v>
      </c>
      <c r="P53" s="216">
        <v>50</v>
      </c>
      <c r="Q53" s="216">
        <f>'Invoer en resultaat'!$H$9</f>
        <v>100</v>
      </c>
      <c r="R53" s="203">
        <f>Q53-P53</f>
        <v>50</v>
      </c>
      <c r="S53" s="358">
        <f>IF(Q53&lt;P53,0,ROUNDDOWN(Q53/P53-0.01,0))</f>
        <v>1</v>
      </c>
      <c r="T53" s="359">
        <v>8.0000000000000002E-3</v>
      </c>
      <c r="U53" s="217">
        <v>0.1</v>
      </c>
      <c r="V53" s="229"/>
      <c r="W53" s="229" t="s">
        <v>261</v>
      </c>
      <c r="X53" s="230"/>
      <c r="Y53" s="229" t="str">
        <f>'MKI-waarden'!A27</f>
        <v>Constructies in kg of m3, wapeningstaal</v>
      </c>
    </row>
    <row r="54" spans="1:25" s="510" customFormat="1" x14ac:dyDescent="0.2">
      <c r="A54" s="494">
        <f>C54</f>
        <v>2</v>
      </c>
      <c r="B54" s="209" t="str">
        <f>B53</f>
        <v>Beschoeiing</v>
      </c>
      <c r="C54" s="496">
        <f>IF(B54=B53,C53,C53+1)</f>
        <v>2</v>
      </c>
      <c r="D54" s="497">
        <f>F54</f>
        <v>7</v>
      </c>
      <c r="E54" s="498" t="str">
        <f>E53</f>
        <v>(perkoen)palen</v>
      </c>
      <c r="F54" s="499">
        <f>IF(E54=E53,F53,F53+1)</f>
        <v>7</v>
      </c>
      <c r="G54" s="500"/>
      <c r="H54" s="500" t="s">
        <v>669</v>
      </c>
      <c r="I54" s="321">
        <v>50</v>
      </c>
      <c r="J54" s="501" t="s">
        <v>49</v>
      </c>
      <c r="K54" s="502"/>
      <c r="L54" s="503"/>
      <c r="M54" s="504"/>
      <c r="N54" s="504"/>
      <c r="O54" s="504"/>
      <c r="P54" s="505">
        <v>50</v>
      </c>
      <c r="Q54" s="513">
        <f>'Invoer en resultaat'!$H$9</f>
        <v>100</v>
      </c>
      <c r="R54" s="513">
        <f>Q54-P54</f>
        <v>50</v>
      </c>
      <c r="S54" s="514">
        <f>IF(Q54&lt;P54,0,ROUNDDOWN(Q54/P54-0.01,0))</f>
        <v>1</v>
      </c>
      <c r="T54" s="506"/>
      <c r="U54" s="507"/>
      <c r="V54" s="508" t="s">
        <v>668</v>
      </c>
      <c r="W54" s="509"/>
      <c r="X54" s="509"/>
      <c r="Y54" s="509"/>
    </row>
    <row r="55" spans="1:25" s="205" customFormat="1" ht="14.25" customHeight="1" x14ac:dyDescent="0.2">
      <c r="A55" s="196">
        <f t="shared" si="0"/>
        <v>3</v>
      </c>
      <c r="B55" s="197" t="s">
        <v>54</v>
      </c>
      <c r="C55" s="198">
        <f>IF(B55=B53,C53,C53+1)</f>
        <v>3</v>
      </c>
      <c r="D55" s="199">
        <f t="shared" si="32"/>
        <v>8</v>
      </c>
      <c r="E55" s="175" t="s">
        <v>62</v>
      </c>
      <c r="F55" s="200">
        <f>IF(E55=E53,F53,F53+1)</f>
        <v>8</v>
      </c>
      <c r="G55" s="201"/>
      <c r="H55" s="175" t="s">
        <v>90</v>
      </c>
      <c r="I55" s="321">
        <v>51</v>
      </c>
      <c r="J55" s="221" t="s">
        <v>50</v>
      </c>
      <c r="K55" s="292">
        <f t="shared" ref="K55:K60" si="33">1-(N55/AVERAGE($N$55:$N$60))</f>
        <v>0.52190882455171894</v>
      </c>
      <c r="L55" s="331">
        <f t="shared" ref="L55:L60" si="34">IF(K55&gt;-1,1-(O55/AVERAGE($O$55:$O$60)),1-(O55/AVERAGE($N$55:$N$60)))</f>
        <v>0.26882353194751751</v>
      </c>
      <c r="M55" s="344">
        <f>U55/'MKI-waarden'!O48*'MKI-waarden'!D48</f>
        <v>1.4737034161490683</v>
      </c>
      <c r="N55" s="342">
        <f t="shared" si="7"/>
        <v>2.9474068322981366E-2</v>
      </c>
      <c r="O55" s="342">
        <f t="shared" ref="O55:O60" si="35">IF(K55&lt;-1,(2*AVERAGE($N$55:$N$60)),N55)</f>
        <v>2.9474068322981366E-2</v>
      </c>
      <c r="P55" s="203">
        <v>50</v>
      </c>
      <c r="Q55" s="203">
        <f>'Invoer en resultaat'!$H$9</f>
        <v>100</v>
      </c>
      <c r="R55" s="203">
        <f t="shared" si="8"/>
        <v>50</v>
      </c>
      <c r="S55" s="357">
        <f t="shared" si="6"/>
        <v>1</v>
      </c>
      <c r="T55" s="354"/>
      <c r="U55" s="190">
        <v>0.15</v>
      </c>
      <c r="V55" s="140"/>
      <c r="W55" s="140"/>
      <c r="X55" s="140"/>
      <c r="Y55" s="229" t="str">
        <f>'MKI-waarden'!A48</f>
        <v>Houten lariks paal met betonopzetter</v>
      </c>
    </row>
    <row r="56" spans="1:25" s="205" customFormat="1" ht="14.25" customHeight="1" x14ac:dyDescent="0.2">
      <c r="A56" s="196">
        <f t="shared" si="0"/>
        <v>3</v>
      </c>
      <c r="B56" s="197" t="s">
        <v>54</v>
      </c>
      <c r="C56" s="198">
        <f>IF(B56=B55,C55,C55+1)</f>
        <v>3</v>
      </c>
      <c r="D56" s="199">
        <f t="shared" si="32"/>
        <v>8</v>
      </c>
      <c r="E56" s="175" t="s">
        <v>62</v>
      </c>
      <c r="F56" s="200">
        <f>IF(E56=E55,F55,F55+1)</f>
        <v>8</v>
      </c>
      <c r="G56" s="201"/>
      <c r="H56" s="175" t="s">
        <v>4</v>
      </c>
      <c r="I56" s="321">
        <v>52</v>
      </c>
      <c r="J56" s="221" t="s">
        <v>50</v>
      </c>
      <c r="K56" s="292">
        <f t="shared" si="33"/>
        <v>0.10571095814782272</v>
      </c>
      <c r="L56" s="331">
        <f t="shared" si="34"/>
        <v>-0.36769540334310014</v>
      </c>
      <c r="M56" s="344">
        <f>U56/'MKI-waarden'!O75*'MKI-waarden'!D75</f>
        <v>5.5132446850393713</v>
      </c>
      <c r="N56" s="342">
        <f t="shared" si="7"/>
        <v>5.5132446850393715E-2</v>
      </c>
      <c r="O56" s="342">
        <f t="shared" si="35"/>
        <v>5.5132446850393715E-2</v>
      </c>
      <c r="P56" s="203">
        <v>100</v>
      </c>
      <c r="Q56" s="203">
        <f>'Invoer en resultaat'!$H$9</f>
        <v>100</v>
      </c>
      <c r="R56" s="203">
        <f t="shared" si="8"/>
        <v>0</v>
      </c>
      <c r="S56" s="357">
        <f t="shared" si="6"/>
        <v>0</v>
      </c>
      <c r="T56" s="354">
        <v>0.01</v>
      </c>
      <c r="U56" s="190">
        <v>0.15</v>
      </c>
      <c r="V56" s="140"/>
      <c r="W56" s="140" t="s">
        <v>273</v>
      </c>
      <c r="X56" s="227"/>
      <c r="Y56" s="140" t="str">
        <f>'MKI-waarden'!$A$75</f>
        <v>Buispaal, Staal</v>
      </c>
    </row>
    <row r="57" spans="1:25" s="205" customFormat="1" ht="14.25" customHeight="1" x14ac:dyDescent="0.2">
      <c r="A57" s="196">
        <f t="shared" si="0"/>
        <v>3</v>
      </c>
      <c r="B57" s="197" t="s">
        <v>54</v>
      </c>
      <c r="C57" s="198">
        <f>IF(B57=B56,C56,C56+1)</f>
        <v>3</v>
      </c>
      <c r="D57" s="199">
        <f t="shared" si="32"/>
        <v>8</v>
      </c>
      <c r="E57" s="175" t="s">
        <v>62</v>
      </c>
      <c r="F57" s="200">
        <f>IF(E57=E56,F56,F56+1)</f>
        <v>8</v>
      </c>
      <c r="G57" s="201"/>
      <c r="H57" s="175" t="s">
        <v>59</v>
      </c>
      <c r="I57" s="321">
        <v>53</v>
      </c>
      <c r="J57" s="221" t="s">
        <v>50</v>
      </c>
      <c r="K57" s="292">
        <f t="shared" si="33"/>
        <v>-3.0768061090229342</v>
      </c>
      <c r="L57" s="331">
        <f t="shared" si="34"/>
        <v>-1</v>
      </c>
      <c r="M57" s="342">
        <f>U57/'MKI-waarden'!N74*'MKI-waarden'!D74</f>
        <v>25.133294226613152</v>
      </c>
      <c r="N57" s="342">
        <f t="shared" si="7"/>
        <v>0.25133294226613151</v>
      </c>
      <c r="O57" s="342">
        <f t="shared" si="35"/>
        <v>0.12329894311621657</v>
      </c>
      <c r="P57" s="203">
        <v>100</v>
      </c>
      <c r="Q57" s="203">
        <f>'Invoer en resultaat'!$H$9</f>
        <v>100</v>
      </c>
      <c r="R57" s="203">
        <f t="shared" si="8"/>
        <v>0</v>
      </c>
      <c r="S57" s="357">
        <f t="shared" ref="S57:S70" si="36">IF(Q57&lt;P57,0,ROUNDDOWN(Q57/P57-0.01,0))</f>
        <v>0</v>
      </c>
      <c r="T57" s="354">
        <v>0.01</v>
      </c>
      <c r="U57" s="190">
        <v>0.15</v>
      </c>
      <c r="V57" s="140"/>
      <c r="W57" s="140"/>
      <c r="X57" s="140"/>
      <c r="Y57" s="140" t="str">
        <f>'MKI-waarden'!$A$49</f>
        <v>Funderingspaal met C20/25 0% betongranulaat Lafgarge Holcim Limburg</v>
      </c>
    </row>
    <row r="58" spans="1:25" s="205" customFormat="1" ht="14.25" customHeight="1" x14ac:dyDescent="0.2">
      <c r="A58" s="196">
        <f t="shared" ref="A58" si="37">C58</f>
        <v>3</v>
      </c>
      <c r="B58" s="197" t="s">
        <v>54</v>
      </c>
      <c r="C58" s="198">
        <f>IF(B58=B57,C57,C57+1)</f>
        <v>3</v>
      </c>
      <c r="D58" s="199">
        <f t="shared" ref="D58" si="38">F58</f>
        <v>8</v>
      </c>
      <c r="E58" s="175" t="s">
        <v>62</v>
      </c>
      <c r="F58" s="200">
        <f>IF(E58=E57,F57,F57+1)</f>
        <v>8</v>
      </c>
      <c r="G58" s="201"/>
      <c r="H58" s="175" t="s">
        <v>406</v>
      </c>
      <c r="I58" s="321">
        <v>54</v>
      </c>
      <c r="J58" s="221" t="s">
        <v>50</v>
      </c>
      <c r="K58" s="292">
        <f t="shared" si="33"/>
        <v>0.78398881121688002</v>
      </c>
      <c r="L58" s="331">
        <f t="shared" si="34"/>
        <v>0.66963979637113058</v>
      </c>
      <c r="M58" s="345">
        <f>(PI()*(U58/2)^2)*'MKI-waarden'!D123</f>
        <v>1.3316975639118114</v>
      </c>
      <c r="N58" s="345">
        <f t="shared" si="7"/>
        <v>1.3316975639118114E-2</v>
      </c>
      <c r="O58" s="345">
        <f t="shared" si="35"/>
        <v>1.3316975639118114E-2</v>
      </c>
      <c r="P58" s="203">
        <v>100</v>
      </c>
      <c r="Q58" s="203">
        <f>'Invoer en resultaat'!$H$9</f>
        <v>100</v>
      </c>
      <c r="R58" s="203">
        <f t="shared" si="8"/>
        <v>0</v>
      </c>
      <c r="S58" s="357">
        <f t="shared" si="36"/>
        <v>0</v>
      </c>
      <c r="T58" s="354"/>
      <c r="U58" s="190">
        <v>0.2</v>
      </c>
      <c r="V58" s="140"/>
      <c r="W58" s="140" t="s">
        <v>164</v>
      </c>
      <c r="X58" s="140"/>
      <c r="Y58" s="140" t="str">
        <f>'MKI-waarden'!A123</f>
        <v>Betonmortel C20/25 CEM I 30% granulaat – in situ voor GWW</v>
      </c>
    </row>
    <row r="59" spans="1:25" s="205" customFormat="1" ht="14.25" customHeight="1" x14ac:dyDescent="0.2">
      <c r="A59" s="196">
        <f t="shared" si="0"/>
        <v>3</v>
      </c>
      <c r="B59" s="197" t="s">
        <v>54</v>
      </c>
      <c r="C59" s="198">
        <f>IF(B59=B57,C57,C57+1)</f>
        <v>3</v>
      </c>
      <c r="D59" s="199">
        <f t="shared" si="32"/>
        <v>8</v>
      </c>
      <c r="E59" s="175" t="s">
        <v>62</v>
      </c>
      <c r="F59" s="200">
        <f>IF(E59=E57,F57,F57+1)</f>
        <v>8</v>
      </c>
      <c r="G59" s="201"/>
      <c r="H59" s="205" t="s">
        <v>274</v>
      </c>
      <c r="I59" s="321">
        <v>55</v>
      </c>
      <c r="J59" s="221" t="s">
        <v>50</v>
      </c>
      <c r="K59" s="292">
        <f t="shared" si="33"/>
        <v>0.87947110543834461</v>
      </c>
      <c r="L59" s="331">
        <f t="shared" si="34"/>
        <v>0.81566718661722137</v>
      </c>
      <c r="M59" s="345">
        <f>(PI()*(U59/2)^2)*'MKI-waarden'!$D$20</f>
        <v>0.74305426572090061</v>
      </c>
      <c r="N59" s="345">
        <f t="shared" si="7"/>
        <v>7.430542657209006E-3</v>
      </c>
      <c r="O59" s="345">
        <f t="shared" si="35"/>
        <v>7.430542657209006E-3</v>
      </c>
      <c r="P59" s="203">
        <v>100</v>
      </c>
      <c r="Q59" s="203">
        <f>'Invoer en resultaat'!$H$9</f>
        <v>100</v>
      </c>
      <c r="R59" s="203">
        <f t="shared" si="8"/>
        <v>0</v>
      </c>
      <c r="S59" s="357">
        <f t="shared" si="36"/>
        <v>0</v>
      </c>
      <c r="T59" s="354"/>
      <c r="U59" s="190">
        <v>0.15</v>
      </c>
      <c r="V59" s="140"/>
      <c r="W59" s="140" t="s">
        <v>164</v>
      </c>
      <c r="X59" s="227"/>
      <c r="Y59" s="229" t="str">
        <f>'MKI-waarden'!$A$20</f>
        <v>Betonmortel C20/25 (CEM I)</v>
      </c>
    </row>
    <row r="60" spans="1:25" s="220" customFormat="1" ht="14.25" customHeight="1" x14ac:dyDescent="0.2">
      <c r="A60" s="208">
        <f t="shared" si="0"/>
        <v>3</v>
      </c>
      <c r="B60" s="209" t="s">
        <v>54</v>
      </c>
      <c r="C60" s="210">
        <f>IF(B60=B59,C59,C59+1)</f>
        <v>3</v>
      </c>
      <c r="D60" s="211">
        <f t="shared" si="32"/>
        <v>8</v>
      </c>
      <c r="E60" s="212" t="s">
        <v>62</v>
      </c>
      <c r="F60" s="213">
        <f>IF(E60=E59,F59,F59+1)</f>
        <v>8</v>
      </c>
      <c r="G60" s="214"/>
      <c r="H60" s="212" t="s">
        <v>92</v>
      </c>
      <c r="I60" s="321">
        <v>56</v>
      </c>
      <c r="J60" s="228" t="s">
        <v>50</v>
      </c>
      <c r="K60" s="296">
        <f t="shared" si="33"/>
        <v>0.7857264096681682</v>
      </c>
      <c r="L60" s="331">
        <f t="shared" si="34"/>
        <v>0.67229722065283815</v>
      </c>
      <c r="M60" s="345">
        <f>(PI()*(U60/2)^2)*'MKI-waarden'!$D$20</f>
        <v>1.3209853612816012</v>
      </c>
      <c r="N60" s="345">
        <f t="shared" si="7"/>
        <v>1.3209853612816012E-2</v>
      </c>
      <c r="O60" s="345">
        <f t="shared" si="35"/>
        <v>1.3209853612816012E-2</v>
      </c>
      <c r="P60" s="216">
        <v>100</v>
      </c>
      <c r="Q60" s="203">
        <f>'Invoer en resultaat'!$H$9</f>
        <v>100</v>
      </c>
      <c r="R60" s="203">
        <f t="shared" si="8"/>
        <v>0</v>
      </c>
      <c r="S60" s="358">
        <f t="shared" si="36"/>
        <v>0</v>
      </c>
      <c r="T60" s="362"/>
      <c r="U60" s="217">
        <v>0.2</v>
      </c>
      <c r="V60" s="229"/>
      <c r="W60" s="229" t="s">
        <v>164</v>
      </c>
      <c r="X60" s="230"/>
      <c r="Y60" s="229" t="str">
        <f>'MKI-waarden'!$A$20</f>
        <v>Betonmortel C20/25 (CEM I)</v>
      </c>
    </row>
    <row r="61" spans="1:25" s="205" customFormat="1" ht="14.25" customHeight="1" x14ac:dyDescent="0.2">
      <c r="A61" s="196">
        <f t="shared" si="0"/>
        <v>3</v>
      </c>
      <c r="B61" s="222" t="s">
        <v>54</v>
      </c>
      <c r="C61" s="198">
        <f t="shared" ref="C61:C110" si="39">IF(B61=B60,C60,C60+1)</f>
        <v>3</v>
      </c>
      <c r="D61" s="199">
        <f t="shared" ref="D61:D110" si="40">F61</f>
        <v>9</v>
      </c>
      <c r="E61" s="175" t="s">
        <v>65</v>
      </c>
      <c r="F61" s="200">
        <f t="shared" ref="F61:F110" si="41">IF(E61=E60,F60,F60+1)</f>
        <v>9</v>
      </c>
      <c r="G61" s="201"/>
      <c r="H61" s="205" t="s">
        <v>13</v>
      </c>
      <c r="I61" s="321">
        <v>57</v>
      </c>
      <c r="J61" s="202" t="s">
        <v>49</v>
      </c>
      <c r="K61" s="292">
        <f>1-(N61/AVERAGE($N$61:$N$63))</f>
        <v>-1.2565057797556527</v>
      </c>
      <c r="L61" s="331">
        <f>IF(K61&gt;-1,1-(O61/AVERAGE($O$61:$O$63)),1-(O61/AVERAGE($N$61:$N$63)))</f>
        <v>-1</v>
      </c>
      <c r="M61" s="342">
        <f>T61/'MKI-waarden'!$N$29*'MKI-waarden'!$D$29</f>
        <v>6.4891833333333322</v>
      </c>
      <c r="N61" s="342">
        <f t="shared" si="7"/>
        <v>0.32445916666666663</v>
      </c>
      <c r="O61" s="342">
        <f>IF(K61&lt;-1,(2*AVERAGE($N$61:$N$63)),N61)</f>
        <v>0.28757663248866211</v>
      </c>
      <c r="P61" s="203">
        <v>20</v>
      </c>
      <c r="Q61" s="203">
        <f>'Invoer en resultaat'!$H$9</f>
        <v>100</v>
      </c>
      <c r="R61" s="203">
        <f t="shared" si="8"/>
        <v>80</v>
      </c>
      <c r="S61" s="357">
        <f t="shared" si="36"/>
        <v>4</v>
      </c>
      <c r="T61" s="354">
        <v>0.1</v>
      </c>
      <c r="U61" s="190">
        <v>0</v>
      </c>
      <c r="W61" s="140" t="s">
        <v>331</v>
      </c>
      <c r="X61" s="140"/>
      <c r="Y61" s="140" t="str">
        <f>'MKI-waarden'!$A$28</f>
        <v>Damwand, tropisch hardhout, damwandplanken</v>
      </c>
    </row>
    <row r="62" spans="1:25" s="205" customFormat="1" ht="14.25" customHeight="1" x14ac:dyDescent="0.2">
      <c r="A62" s="196">
        <f t="shared" si="0"/>
        <v>3</v>
      </c>
      <c r="B62" s="197" t="s">
        <v>54</v>
      </c>
      <c r="C62" s="198">
        <f t="shared" si="39"/>
        <v>3</v>
      </c>
      <c r="D62" s="199">
        <f t="shared" si="40"/>
        <v>9</v>
      </c>
      <c r="E62" s="175" t="s">
        <v>65</v>
      </c>
      <c r="F62" s="200">
        <f t="shared" si="41"/>
        <v>9</v>
      </c>
      <c r="G62" s="201"/>
      <c r="H62" s="175" t="s">
        <v>66</v>
      </c>
      <c r="I62" s="321">
        <v>58</v>
      </c>
      <c r="J62" s="202" t="s">
        <v>49</v>
      </c>
      <c r="K62" s="292">
        <f>1-(N62/AVERAGE($N$61:$N$63))</f>
        <v>0.84512829810066048</v>
      </c>
      <c r="L62" s="331">
        <f>IF(K62&gt;-1,1-(O62/AVERAGE($O$61:$O$63)),1-(O62/AVERAGE($N$61:$N$63)))</f>
        <v>0.8306484109681711</v>
      </c>
      <c r="M62" s="342">
        <f>T62/'MKI-waarden'!$N$106*'MKI-waarden'!$D$106</f>
        <v>1.7814992999999992</v>
      </c>
      <c r="N62" s="342">
        <f t="shared" si="7"/>
        <v>2.2268741249999991E-2</v>
      </c>
      <c r="O62" s="342">
        <f>IF(K62&lt;-1,(2*AVERAGE($N$61:$N$63)),N62)</f>
        <v>2.2268741249999991E-2</v>
      </c>
      <c r="P62" s="203">
        <v>80</v>
      </c>
      <c r="Q62" s="203">
        <f>'Invoer en resultaat'!$H$9</f>
        <v>100</v>
      </c>
      <c r="R62" s="203">
        <f t="shared" si="8"/>
        <v>20</v>
      </c>
      <c r="S62" s="357">
        <f t="shared" si="36"/>
        <v>1</v>
      </c>
      <c r="T62" s="354">
        <v>0.21</v>
      </c>
      <c r="U62" s="190">
        <v>0</v>
      </c>
      <c r="V62" s="174"/>
      <c r="W62" s="140"/>
      <c r="X62" s="140"/>
      <c r="Y62" s="140" t="str">
        <f>'MKI-waarden'!$A$106</f>
        <v>Straatbaksteen GWW, KNB</v>
      </c>
    </row>
    <row r="63" spans="1:25" s="220" customFormat="1" ht="14.25" customHeight="1" x14ac:dyDescent="0.2">
      <c r="A63" s="208">
        <f t="shared" si="0"/>
        <v>3</v>
      </c>
      <c r="B63" s="209" t="s">
        <v>54</v>
      </c>
      <c r="C63" s="210">
        <f t="shared" si="39"/>
        <v>3</v>
      </c>
      <c r="D63" s="211">
        <f t="shared" si="40"/>
        <v>9</v>
      </c>
      <c r="E63" s="212" t="s">
        <v>65</v>
      </c>
      <c r="F63" s="213">
        <f t="shared" si="41"/>
        <v>9</v>
      </c>
      <c r="G63" s="214"/>
      <c r="H63" s="220" t="s">
        <v>1</v>
      </c>
      <c r="I63" s="321">
        <v>59</v>
      </c>
      <c r="J63" s="215" t="s">
        <v>49</v>
      </c>
      <c r="K63" s="296">
        <f>1-(N63/AVERAGE($N$61:$N$63))</f>
        <v>0.41137748165499222</v>
      </c>
      <c r="L63" s="331">
        <f>IF(K63&gt;-1,1-(O63/AVERAGE($O$61:$O$63)),1-(O63/AVERAGE($N$61:$N$63)))</f>
        <v>0.35634362120954377</v>
      </c>
      <c r="M63" s="345">
        <f>T63/'MKI-waarden'!N31*'MKI-waarden'!D31</f>
        <v>6.770963265306122</v>
      </c>
      <c r="N63" s="345">
        <f t="shared" si="7"/>
        <v>8.4637040816326531E-2</v>
      </c>
      <c r="O63" s="345">
        <f>IF(K63&lt;-1,(2*AVERAGE($N$61:$N$63)),N63)</f>
        <v>8.4637040816326531E-2</v>
      </c>
      <c r="P63" s="216">
        <v>80</v>
      </c>
      <c r="Q63" s="203">
        <f>'Invoer en resultaat'!$H$9</f>
        <v>100</v>
      </c>
      <c r="R63" s="203">
        <f t="shared" si="8"/>
        <v>20</v>
      </c>
      <c r="S63" s="358">
        <f t="shared" si="36"/>
        <v>1</v>
      </c>
      <c r="T63" s="359">
        <v>0.15</v>
      </c>
      <c r="U63" s="217">
        <v>0</v>
      </c>
      <c r="V63" s="218"/>
      <c r="W63" s="229"/>
      <c r="X63" s="229"/>
      <c r="Y63" s="229" t="str">
        <f>'MKI-waarden'!A21</f>
        <v>Betonmortel C30/37 (CEMIII) 2386 kgm3</v>
      </c>
    </row>
    <row r="64" spans="1:25" s="205" customFormat="1" ht="14.25" customHeight="1" x14ac:dyDescent="0.2">
      <c r="A64" s="196">
        <f t="shared" si="0"/>
        <v>3</v>
      </c>
      <c r="B64" s="197" t="s">
        <v>54</v>
      </c>
      <c r="C64" s="198">
        <f t="shared" si="39"/>
        <v>3</v>
      </c>
      <c r="D64" s="199">
        <f t="shared" si="40"/>
        <v>10</v>
      </c>
      <c r="E64" s="175" t="s">
        <v>67</v>
      </c>
      <c r="F64" s="200">
        <f t="shared" si="41"/>
        <v>10</v>
      </c>
      <c r="G64" s="201"/>
      <c r="H64" s="175" t="s">
        <v>13</v>
      </c>
      <c r="I64" s="321">
        <v>60</v>
      </c>
      <c r="J64" s="202" t="s">
        <v>49</v>
      </c>
      <c r="K64" s="292">
        <f>1-(N64/AVERAGE($N$64:$N$68))</f>
        <v>-0.71124625216208859</v>
      </c>
      <c r="L64" s="331">
        <f>IF(K64&gt;-1,1-(O64/AVERAGE($O$64:$O$68)),1-(O64/AVERAGE($N$64:$N$68)))</f>
        <v>-0.99840025821487433</v>
      </c>
      <c r="M64" s="342">
        <f>T64/'MKI-waarden'!$N$29*'MKI-waarden'!$D$29</f>
        <v>5.1913466666666661</v>
      </c>
      <c r="N64" s="342">
        <f t="shared" si="7"/>
        <v>0.25956733333333332</v>
      </c>
      <c r="O64" s="342">
        <f>IF(K64&lt;-1,(2*AVERAGE($N$64:$N$68)),N64)</f>
        <v>0.25956733333333332</v>
      </c>
      <c r="P64" s="203">
        <v>20</v>
      </c>
      <c r="Q64" s="203">
        <f>'Invoer en resultaat'!$H$9</f>
        <v>100</v>
      </c>
      <c r="R64" s="203">
        <f t="shared" si="8"/>
        <v>80</v>
      </c>
      <c r="S64" s="357">
        <f t="shared" si="36"/>
        <v>4</v>
      </c>
      <c r="T64" s="354">
        <v>0.08</v>
      </c>
      <c r="U64" s="190">
        <v>0</v>
      </c>
      <c r="W64" s="140" t="s">
        <v>147</v>
      </c>
      <c r="X64" s="140"/>
      <c r="Y64" s="140" t="str">
        <f>'MKI-waarden'!$A$28</f>
        <v>Damwand, tropisch hardhout, damwandplanken</v>
      </c>
    </row>
    <row r="65" spans="1:25" s="205" customFormat="1" ht="14.25" customHeight="1" x14ac:dyDescent="0.2">
      <c r="A65" s="196">
        <f t="shared" si="0"/>
        <v>3</v>
      </c>
      <c r="B65" s="197" t="s">
        <v>54</v>
      </c>
      <c r="C65" s="198">
        <f t="shared" si="39"/>
        <v>3</v>
      </c>
      <c r="D65" s="199">
        <f t="shared" si="40"/>
        <v>10</v>
      </c>
      <c r="E65" s="175" t="s">
        <v>67</v>
      </c>
      <c r="F65" s="200">
        <f t="shared" si="41"/>
        <v>10</v>
      </c>
      <c r="G65" s="201"/>
      <c r="H65" s="205" t="s">
        <v>660</v>
      </c>
      <c r="I65" s="321">
        <v>61</v>
      </c>
      <c r="J65" s="202" t="s">
        <v>49</v>
      </c>
      <c r="K65" s="292">
        <f>1-(N65/AVERAGE($N$64:$N$68))</f>
        <v>1.0134498716784945</v>
      </c>
      <c r="L65" s="331">
        <v>1</v>
      </c>
      <c r="M65" s="342">
        <f>'MKI-waarden'!$D$38/'MKI-waarden'!$D$126*Database!M66</f>
        <v>-0.10200598893500619</v>
      </c>
      <c r="N65" s="342">
        <f t="shared" si="7"/>
        <v>-2.0401197787001239E-3</v>
      </c>
      <c r="O65" s="342">
        <f>IF(K65&lt;-1,(2*AVERAGE($N$64:$N$68)),N65)</f>
        <v>-2.0401197787001239E-3</v>
      </c>
      <c r="P65" s="203">
        <v>50</v>
      </c>
      <c r="Q65" s="203">
        <f>'Invoer en resultaat'!$H$9</f>
        <v>100</v>
      </c>
      <c r="R65" s="203">
        <f t="shared" si="8"/>
        <v>50</v>
      </c>
      <c r="S65" s="357">
        <f t="shared" si="36"/>
        <v>1</v>
      </c>
      <c r="T65" s="354">
        <v>0.01</v>
      </c>
      <c r="U65" s="190">
        <v>0</v>
      </c>
      <c r="W65" s="140" t="s">
        <v>147</v>
      </c>
      <c r="X65" s="140"/>
      <c r="Y65" s="140" t="str">
        <f>'MKI-waarden'!$A38</f>
        <v>Damwand, kunststof vezelversterkt</v>
      </c>
    </row>
    <row r="66" spans="1:25" s="205" customFormat="1" ht="14.25" customHeight="1" x14ac:dyDescent="0.2">
      <c r="A66" s="196">
        <f t="shared" ref="A66" si="42">C66</f>
        <v>3</v>
      </c>
      <c r="B66" s="197" t="s">
        <v>54</v>
      </c>
      <c r="C66" s="198">
        <f t="shared" ref="C66" si="43">IF(B66=B65,C65,C65+1)</f>
        <v>3</v>
      </c>
      <c r="D66" s="199">
        <f t="shared" ref="D66" si="44">F66</f>
        <v>10</v>
      </c>
      <c r="E66" s="175" t="s">
        <v>67</v>
      </c>
      <c r="F66" s="200">
        <f t="shared" ref="F66" si="45">IF(E66=E65,F65,F65+1)</f>
        <v>10</v>
      </c>
      <c r="G66" s="201"/>
      <c r="H66" s="205" t="s">
        <v>658</v>
      </c>
      <c r="I66" s="321">
        <v>62</v>
      </c>
      <c r="J66" s="202" t="s">
        <v>49</v>
      </c>
      <c r="K66" s="292">
        <f>1-(N66/AVERAGE($N$64:$N$68))</f>
        <v>1.0114406475735165</v>
      </c>
      <c r="L66" s="331">
        <v>1</v>
      </c>
      <c r="M66" s="342">
        <f>((PI()*((U66/2)^2))-(PI()*((U66/2-T66)^2)))*'MKI-waarden'!$E$128</f>
        <v>-8.6767710331349557E-2</v>
      </c>
      <c r="N66" s="342">
        <f t="shared" si="7"/>
        <v>-1.7353542066269911E-3</v>
      </c>
      <c r="O66" s="342">
        <f>IF(K66&lt;-1,(2*AVERAGE($N$64:$N$68)),N66)</f>
        <v>-1.7353542066269911E-3</v>
      </c>
      <c r="P66" s="203">
        <v>50</v>
      </c>
      <c r="Q66" s="203">
        <f>'Invoer en resultaat'!$H$9</f>
        <v>100</v>
      </c>
      <c r="R66" s="203">
        <f t="shared" si="8"/>
        <v>50</v>
      </c>
      <c r="S66" s="357">
        <f t="shared" si="36"/>
        <v>1</v>
      </c>
      <c r="T66" s="354">
        <v>0.01</v>
      </c>
      <c r="U66" s="190"/>
      <c r="W66" s="140" t="s">
        <v>147</v>
      </c>
      <c r="X66" s="140"/>
      <c r="Y66" s="140" t="str">
        <f>'MKI-waarden'!$A$128</f>
        <v>GVK, glasvezels in polyester, biobased hars</v>
      </c>
    </row>
    <row r="67" spans="1:25" s="205" customFormat="1" ht="14.25" customHeight="1" x14ac:dyDescent="0.2">
      <c r="A67" s="196">
        <f t="shared" si="0"/>
        <v>3</v>
      </c>
      <c r="B67" s="197" t="s">
        <v>54</v>
      </c>
      <c r="C67" s="198">
        <f>IF(B67=B65,C65,C65+1)</f>
        <v>3</v>
      </c>
      <c r="D67" s="199">
        <f t="shared" si="40"/>
        <v>10</v>
      </c>
      <c r="E67" s="175" t="s">
        <v>67</v>
      </c>
      <c r="F67" s="200">
        <f>IF(E67=E65,F65,F65+1)</f>
        <v>10</v>
      </c>
      <c r="G67" s="201"/>
      <c r="H67" s="205" t="s">
        <v>4</v>
      </c>
      <c r="I67" s="321">
        <v>63</v>
      </c>
      <c r="J67" s="202" t="s">
        <v>49</v>
      </c>
      <c r="K67" s="292">
        <f>1-(N67/AVERAGE($N$64:$N$68))</f>
        <v>-1.7184596901255751</v>
      </c>
      <c r="L67" s="331">
        <f>IF(K67&gt;-1,1-(O67/AVERAGE($O$64:$O$68)),1-(O67/AVERAGE($N$64:$N$68)))</f>
        <v>-1</v>
      </c>
      <c r="M67" s="342">
        <f>T67/'MKI-waarden'!$N$39*'MKI-waarden'!$D$39</f>
        <v>20.617235294117645</v>
      </c>
      <c r="N67" s="342">
        <f t="shared" si="7"/>
        <v>0.41234470588235289</v>
      </c>
      <c r="O67" s="342">
        <f>IF(K67&lt;-1,(2*AVERAGE($N$64:$N$68)),N67)</f>
        <v>0.30336643017377629</v>
      </c>
      <c r="P67" s="203">
        <v>50</v>
      </c>
      <c r="Q67" s="203">
        <f>'Invoer en resultaat'!$H$9</f>
        <v>100</v>
      </c>
      <c r="R67" s="203">
        <f t="shared" si="8"/>
        <v>50</v>
      </c>
      <c r="S67" s="357">
        <f t="shared" si="36"/>
        <v>1</v>
      </c>
      <c r="T67" s="354">
        <v>0.01</v>
      </c>
      <c r="U67" s="190">
        <v>0</v>
      </c>
      <c r="W67" s="140" t="s">
        <v>324</v>
      </c>
      <c r="X67" s="140"/>
      <c r="Y67" s="140" t="str">
        <f>'MKI-waarden'!A39</f>
        <v>Damwand Staal, constructiestaal</v>
      </c>
    </row>
    <row r="68" spans="1:25" s="220" customFormat="1" ht="14.25" customHeight="1" x14ac:dyDescent="0.2">
      <c r="A68" s="208">
        <f t="shared" si="0"/>
        <v>3</v>
      </c>
      <c r="B68" s="209" t="s">
        <v>54</v>
      </c>
      <c r="C68" s="210">
        <f>IF(B68=B67,C67,C67+1)</f>
        <v>3</v>
      </c>
      <c r="D68" s="211">
        <f t="shared" si="40"/>
        <v>10</v>
      </c>
      <c r="E68" s="212" t="s">
        <v>67</v>
      </c>
      <c r="F68" s="213">
        <f>IF(E68=E67,F67,F67+1)</f>
        <v>10</v>
      </c>
      <c r="G68" s="214"/>
      <c r="H68" s="220" t="s">
        <v>1</v>
      </c>
      <c r="I68" s="321">
        <v>64</v>
      </c>
      <c r="J68" s="215" t="s">
        <v>49</v>
      </c>
      <c r="K68" s="296">
        <f>1-(N68/AVERAGE($N$64:$N$68))</f>
        <v>0.40481542303565266</v>
      </c>
      <c r="L68" s="331">
        <f>IF(K68&gt;-1,1-(O68/AVERAGE($O$64:$O$68)),1-(O68/AVERAGE($N$64:$N$68)))</f>
        <v>0.30494105638607916</v>
      </c>
      <c r="M68" s="345">
        <f>T68/'MKI-waarden'!N31*'MKI-waarden'!D31</f>
        <v>6.770963265306122</v>
      </c>
      <c r="N68" s="345">
        <f t="shared" si="7"/>
        <v>9.0279510204081634E-2</v>
      </c>
      <c r="O68" s="345">
        <f>IF(K68&lt;-1,(2*AVERAGE($N$64:$N$68)),N68)</f>
        <v>9.0279510204081634E-2</v>
      </c>
      <c r="P68" s="216">
        <v>75</v>
      </c>
      <c r="Q68" s="203">
        <f>'Invoer en resultaat'!$H$9</f>
        <v>100</v>
      </c>
      <c r="R68" s="203">
        <f t="shared" si="8"/>
        <v>25</v>
      </c>
      <c r="S68" s="358">
        <f t="shared" si="36"/>
        <v>1</v>
      </c>
      <c r="T68" s="359">
        <v>0.15</v>
      </c>
      <c r="U68" s="217">
        <v>0</v>
      </c>
      <c r="W68" s="229" t="s">
        <v>147</v>
      </c>
      <c r="X68" s="229"/>
      <c r="Y68" s="229" t="str">
        <f>'MKI-waarden'!A31</f>
        <v>Damwand, Beton</v>
      </c>
    </row>
    <row r="69" spans="1:25" s="205" customFormat="1" ht="14.25" customHeight="1" x14ac:dyDescent="0.2">
      <c r="A69" s="196">
        <f t="shared" si="0"/>
        <v>3</v>
      </c>
      <c r="B69" s="197" t="s">
        <v>54</v>
      </c>
      <c r="C69" s="198">
        <f t="shared" si="39"/>
        <v>3</v>
      </c>
      <c r="D69" s="199">
        <f t="shared" si="40"/>
        <v>11</v>
      </c>
      <c r="E69" s="175" t="s">
        <v>68</v>
      </c>
      <c r="F69" s="200">
        <f t="shared" si="41"/>
        <v>11</v>
      </c>
      <c r="G69" s="201"/>
      <c r="H69" s="175" t="s">
        <v>13</v>
      </c>
      <c r="I69" s="321">
        <v>65</v>
      </c>
      <c r="J69" s="202" t="s">
        <v>50</v>
      </c>
      <c r="K69" s="292">
        <f>1-(N69/AVERAGE($N$69:$N$71))</f>
        <v>0.99019505219053094</v>
      </c>
      <c r="L69" s="331">
        <f>IF(K69&gt;-1,1-(O69/AVERAGE($O$69:$O$71)),1-(O69/AVERAGE($N$69:$N$71)))</f>
        <v>0.98646001448450704</v>
      </c>
      <c r="M69" s="342">
        <f>U69/'MKI-waarden'!N81*'MKI-waarden'!D81</f>
        <v>0.62954898784061475</v>
      </c>
      <c r="N69" s="342">
        <f t="shared" si="7"/>
        <v>8.3939865045415292E-3</v>
      </c>
      <c r="O69" s="342">
        <f>IF(K69&lt;-1,(2*AVERAGE($N$69:$N$71)),N69)</f>
        <v>8.3939865045415292E-3</v>
      </c>
      <c r="P69" s="203">
        <v>75</v>
      </c>
      <c r="Q69" s="203">
        <f>'Invoer en resultaat'!$H$9</f>
        <v>100</v>
      </c>
      <c r="R69" s="203">
        <f t="shared" si="8"/>
        <v>25</v>
      </c>
      <c r="S69" s="357">
        <f t="shared" si="36"/>
        <v>1</v>
      </c>
      <c r="T69" s="354">
        <v>3.0000000000000001E-3</v>
      </c>
      <c r="U69" s="190">
        <v>0.1</v>
      </c>
      <c r="V69" s="205" t="s">
        <v>664</v>
      </c>
      <c r="W69" s="140" t="s">
        <v>561</v>
      </c>
      <c r="X69" s="140"/>
      <c r="Y69" s="140" t="str">
        <f>'MKI-waarden'!A81</f>
        <v>Leuning, Europees naaldhout, duurzame bosbouw</v>
      </c>
    </row>
    <row r="70" spans="1:25" s="205" customFormat="1" ht="14.25" customHeight="1" x14ac:dyDescent="0.2">
      <c r="A70" s="196">
        <f t="shared" si="0"/>
        <v>3</v>
      </c>
      <c r="B70" s="197" t="s">
        <v>54</v>
      </c>
      <c r="C70" s="198">
        <f t="shared" si="39"/>
        <v>3</v>
      </c>
      <c r="D70" s="199">
        <f t="shared" si="40"/>
        <v>11</v>
      </c>
      <c r="E70" s="175" t="s">
        <v>68</v>
      </c>
      <c r="F70" s="200">
        <f t="shared" si="41"/>
        <v>11</v>
      </c>
      <c r="G70" s="201"/>
      <c r="H70" s="205" t="s">
        <v>4</v>
      </c>
      <c r="I70" s="321">
        <v>66</v>
      </c>
      <c r="J70" s="202" t="s">
        <v>50</v>
      </c>
      <c r="K70" s="292">
        <f>1-(N70/AVERAGE($N$69:$N$71))</f>
        <v>0.83736219336562401</v>
      </c>
      <c r="L70" s="331">
        <f>IF(K70&gt;-1,1-(O70/AVERAGE($O$69:$O$71)),1-(O70/AVERAGE($N$69:$N$71)))</f>
        <v>0.77540792782453039</v>
      </c>
      <c r="M70" s="342">
        <f>'MKI-waarden'!D83</f>
        <v>10.4425305</v>
      </c>
      <c r="N70" s="342">
        <f t="shared" si="7"/>
        <v>0.13923373999999999</v>
      </c>
      <c r="O70" s="342">
        <f>IF(K70&lt;-1,(2*AVERAGE($N$69:$N$71)),N70)</f>
        <v>0.13923373999999999</v>
      </c>
      <c r="P70" s="203">
        <v>75</v>
      </c>
      <c r="Q70" s="203">
        <f>'Invoer en resultaat'!$H$9</f>
        <v>100</v>
      </c>
      <c r="R70" s="203">
        <f t="shared" si="8"/>
        <v>25</v>
      </c>
      <c r="S70" s="357">
        <f t="shared" si="36"/>
        <v>1</v>
      </c>
      <c r="T70" s="354">
        <v>3.0000000000000001E-3</v>
      </c>
      <c r="U70" s="190">
        <v>0.05</v>
      </c>
      <c r="V70" s="205" t="s">
        <v>663</v>
      </c>
      <c r="W70" s="140" t="s">
        <v>333</v>
      </c>
      <c r="X70" s="140" t="s">
        <v>234</v>
      </c>
      <c r="Y70" s="140" t="str">
        <f>'MKI-waarden'!A83</f>
        <v xml:space="preserve">Leuning, Staal gecoat </v>
      </c>
    </row>
    <row r="71" spans="1:25" s="220" customFormat="1" ht="14.25" customHeight="1" x14ac:dyDescent="0.2">
      <c r="A71" s="208">
        <f>C71</f>
        <v>3</v>
      </c>
      <c r="B71" s="209" t="s">
        <v>54</v>
      </c>
      <c r="C71" s="210">
        <f>IF(B71=B70,C70,C70+1)</f>
        <v>3</v>
      </c>
      <c r="D71" s="211">
        <f>F71</f>
        <v>11</v>
      </c>
      <c r="E71" s="212" t="s">
        <v>68</v>
      </c>
      <c r="F71" s="213">
        <f>IF(E71=E70,F70,F70+1)</f>
        <v>11</v>
      </c>
      <c r="G71" s="214"/>
      <c r="H71" s="220" t="s">
        <v>28</v>
      </c>
      <c r="I71" s="321">
        <v>67</v>
      </c>
      <c r="J71" s="215" t="s">
        <v>50</v>
      </c>
      <c r="K71" s="296">
        <f>1-(N71/AVERAGE($N$69:$N$71))</f>
        <v>-1.8275572455561551</v>
      </c>
      <c r="L71" s="331">
        <f>IF(K71&gt;-1,1-(O71/AVERAGE($O$69:$O$71)),1-(O71/AVERAGE($N$69:$N$71)))</f>
        <v>-1</v>
      </c>
      <c r="M71" s="345">
        <f>'MKI-waarden'!D82</f>
        <v>181.54974780000001</v>
      </c>
      <c r="N71" s="345">
        <f>IFERROR(IF(Q71&lt;P71,M71/Q71,M71/P71),"")</f>
        <v>2.4206633040000001</v>
      </c>
      <c r="O71" s="345">
        <f>IF(K71&lt;-1,(2*AVERAGE($N$69:$N$71)),N71)</f>
        <v>1.712194020336361</v>
      </c>
      <c r="P71" s="216">
        <v>75</v>
      </c>
      <c r="Q71" s="203">
        <f>'Invoer en resultaat'!$H$9</f>
        <v>100</v>
      </c>
      <c r="R71" s="203">
        <f>Q71-P71</f>
        <v>25</v>
      </c>
      <c r="S71" s="358">
        <f>IF(Q71&lt;P71,0,ROUNDDOWN(Q71/P71-0.01,0))</f>
        <v>1</v>
      </c>
      <c r="T71" s="359">
        <v>3.0000000000000001E-3</v>
      </c>
      <c r="U71" s="217">
        <v>0.05</v>
      </c>
      <c r="V71" s="218"/>
      <c r="W71" s="229" t="s">
        <v>262</v>
      </c>
      <c r="X71" s="229" t="s">
        <v>234</v>
      </c>
      <c r="Y71" s="229" t="str">
        <f>'MKI-waarden'!A82</f>
        <v>Leuning, RVS</v>
      </c>
    </row>
    <row r="72" spans="1:25" s="510" customFormat="1" x14ac:dyDescent="0.2">
      <c r="A72" s="494">
        <f>C72</f>
        <v>3</v>
      </c>
      <c r="B72" s="209" t="str">
        <f>B71</f>
        <v>Brug</v>
      </c>
      <c r="C72" s="496">
        <f>IF(B72=B71,C71,C71+1)</f>
        <v>3</v>
      </c>
      <c r="D72" s="497">
        <f>F72</f>
        <v>11</v>
      </c>
      <c r="E72" s="498" t="str">
        <f>E71</f>
        <v>leuning</v>
      </c>
      <c r="F72" s="499">
        <f>IF(E72=E71,F71,F71+1)</f>
        <v>11</v>
      </c>
      <c r="G72" s="500"/>
      <c r="H72" s="500" t="s">
        <v>669</v>
      </c>
      <c r="I72" s="321">
        <v>68</v>
      </c>
      <c r="J72" s="501" t="s">
        <v>49</v>
      </c>
      <c r="K72" s="502"/>
      <c r="L72" s="503"/>
      <c r="M72" s="504"/>
      <c r="N72" s="504"/>
      <c r="O72" s="504"/>
      <c r="P72" s="505">
        <v>50</v>
      </c>
      <c r="Q72" s="513">
        <f>'Invoer en resultaat'!$H$9</f>
        <v>100</v>
      </c>
      <c r="R72" s="513">
        <f>Q72-P72</f>
        <v>50</v>
      </c>
      <c r="S72" s="514">
        <f>IF(Q72&lt;P72,0,ROUNDDOWN(Q72/P72-0.01,0))</f>
        <v>1</v>
      </c>
      <c r="T72" s="506"/>
      <c r="U72" s="507"/>
      <c r="V72" s="508" t="s">
        <v>668</v>
      </c>
      <c r="W72" s="509"/>
      <c r="X72" s="509"/>
      <c r="Y72" s="509"/>
    </row>
    <row r="73" spans="1:25" s="205" customFormat="1" ht="14.25" customHeight="1" x14ac:dyDescent="0.2">
      <c r="A73" s="196">
        <f t="shared" si="0"/>
        <v>4</v>
      </c>
      <c r="B73" s="197" t="s">
        <v>55</v>
      </c>
      <c r="C73" s="198">
        <f>IF(B73=B71,C71,C71+1)</f>
        <v>4</v>
      </c>
      <c r="D73" s="199">
        <f t="shared" si="40"/>
        <v>12</v>
      </c>
      <c r="E73" s="231" t="s">
        <v>62</v>
      </c>
      <c r="F73" s="200">
        <f>IF(E73=E71,F71,F71+1)</f>
        <v>12</v>
      </c>
      <c r="G73" s="201"/>
      <c r="H73" s="231" t="s">
        <v>90</v>
      </c>
      <c r="I73" s="321">
        <v>69</v>
      </c>
      <c r="J73" s="221" t="s">
        <v>50</v>
      </c>
      <c r="K73" s="292">
        <f>$K$55</f>
        <v>0.52190882455171894</v>
      </c>
      <c r="L73" s="331">
        <f>L$55</f>
        <v>0.26882353194751751</v>
      </c>
      <c r="M73" s="345">
        <f>M$55</f>
        <v>1.4737034161490683</v>
      </c>
      <c r="N73" s="345">
        <f t="shared" si="7"/>
        <v>2.9474068322981366E-2</v>
      </c>
      <c r="O73" s="345">
        <f>O$55</f>
        <v>2.9474068322981366E-2</v>
      </c>
      <c r="P73" s="203">
        <f>$P$55</f>
        <v>50</v>
      </c>
      <c r="Q73" s="203">
        <f>'Invoer en resultaat'!$H$9</f>
        <v>100</v>
      </c>
      <c r="R73" s="203">
        <f t="shared" si="8"/>
        <v>50</v>
      </c>
      <c r="S73" s="357">
        <f>$S$55</f>
        <v>1</v>
      </c>
      <c r="T73" s="354">
        <f>$T$55</f>
        <v>0</v>
      </c>
      <c r="U73" s="190">
        <f>$U$55</f>
        <v>0.15</v>
      </c>
      <c r="V73" s="174">
        <f>$V$55</f>
        <v>0</v>
      </c>
      <c r="W73" s="140">
        <f>$W$55</f>
        <v>0</v>
      </c>
      <c r="X73" s="140">
        <f>$X$55</f>
        <v>0</v>
      </c>
      <c r="Y73" s="140" t="str">
        <f>$Y$55</f>
        <v>Houten lariks paal met betonopzetter</v>
      </c>
    </row>
    <row r="74" spans="1:25" s="205" customFormat="1" ht="14.25" customHeight="1" x14ac:dyDescent="0.2">
      <c r="A74" s="196">
        <f t="shared" si="0"/>
        <v>4</v>
      </c>
      <c r="B74" s="197" t="s">
        <v>55</v>
      </c>
      <c r="C74" s="198">
        <f t="shared" si="39"/>
        <v>4</v>
      </c>
      <c r="D74" s="199">
        <f t="shared" si="40"/>
        <v>12</v>
      </c>
      <c r="E74" s="231" t="s">
        <v>62</v>
      </c>
      <c r="F74" s="200">
        <f t="shared" si="41"/>
        <v>12</v>
      </c>
      <c r="G74" s="201"/>
      <c r="H74" s="231" t="s">
        <v>4</v>
      </c>
      <c r="I74" s="321">
        <v>70</v>
      </c>
      <c r="J74" s="221" t="s">
        <v>50</v>
      </c>
      <c r="K74" s="292">
        <f>$K$56</f>
        <v>0.10571095814782272</v>
      </c>
      <c r="L74" s="331">
        <f>L$56</f>
        <v>-0.36769540334310014</v>
      </c>
      <c r="M74" s="342">
        <f>M$56</f>
        <v>5.5132446850393713</v>
      </c>
      <c r="N74" s="342">
        <f t="shared" si="7"/>
        <v>5.5132446850393715E-2</v>
      </c>
      <c r="O74" s="342">
        <f>O$56</f>
        <v>5.5132446850393715E-2</v>
      </c>
      <c r="P74" s="203">
        <f>$P$56</f>
        <v>100</v>
      </c>
      <c r="Q74" s="203">
        <f>'Invoer en resultaat'!$H$9</f>
        <v>100</v>
      </c>
      <c r="R74" s="203">
        <f t="shared" si="8"/>
        <v>0</v>
      </c>
      <c r="S74" s="357">
        <f>$S$56</f>
        <v>0</v>
      </c>
      <c r="T74" s="354">
        <f>$T$56</f>
        <v>0.01</v>
      </c>
      <c r="U74" s="190">
        <f>$U$56</f>
        <v>0.15</v>
      </c>
      <c r="V74" s="174">
        <f>$V$56</f>
        <v>0</v>
      </c>
      <c r="W74" s="140" t="str">
        <f>$W$56</f>
        <v>Holle buis met diameter: 150 mm</v>
      </c>
      <c r="X74" s="140">
        <f>$X$56</f>
        <v>0</v>
      </c>
      <c r="Y74" s="140" t="str">
        <f>$Y$56</f>
        <v>Buispaal, Staal</v>
      </c>
    </row>
    <row r="75" spans="1:25" s="205" customFormat="1" ht="14.25" customHeight="1" x14ac:dyDescent="0.2">
      <c r="A75" s="196">
        <f t="shared" si="0"/>
        <v>4</v>
      </c>
      <c r="B75" s="197" t="s">
        <v>55</v>
      </c>
      <c r="C75" s="198">
        <f t="shared" si="39"/>
        <v>4</v>
      </c>
      <c r="D75" s="199">
        <f t="shared" si="40"/>
        <v>12</v>
      </c>
      <c r="E75" s="231" t="s">
        <v>62</v>
      </c>
      <c r="F75" s="200">
        <f t="shared" si="41"/>
        <v>12</v>
      </c>
      <c r="G75" s="201"/>
      <c r="H75" s="231" t="s">
        <v>59</v>
      </c>
      <c r="I75" s="321">
        <v>71</v>
      </c>
      <c r="J75" s="221" t="s">
        <v>50</v>
      </c>
      <c r="K75" s="292">
        <f>$K$57</f>
        <v>-3.0768061090229342</v>
      </c>
      <c r="L75" s="331">
        <f>L$57</f>
        <v>-1</v>
      </c>
      <c r="M75" s="342">
        <f>M$57</f>
        <v>25.133294226613152</v>
      </c>
      <c r="N75" s="342">
        <f t="shared" si="7"/>
        <v>0.25133294226613151</v>
      </c>
      <c r="O75" s="342">
        <f>O$57</f>
        <v>0.12329894311621657</v>
      </c>
      <c r="P75" s="203">
        <f>$P$57</f>
        <v>100</v>
      </c>
      <c r="Q75" s="203">
        <f>'Invoer en resultaat'!$H$9</f>
        <v>100</v>
      </c>
      <c r="R75" s="203">
        <f t="shared" si="8"/>
        <v>0</v>
      </c>
      <c r="S75" s="357">
        <f>$S$57</f>
        <v>0</v>
      </c>
      <c r="T75" s="354">
        <f>$T$57</f>
        <v>0.01</v>
      </c>
      <c r="U75" s="190">
        <f>$U$57</f>
        <v>0.15</v>
      </c>
      <c r="V75" s="174">
        <f>$V$57</f>
        <v>0</v>
      </c>
      <c r="W75" s="140">
        <f>$W$57</f>
        <v>0</v>
      </c>
      <c r="X75" s="140">
        <f>$X$57</f>
        <v>0</v>
      </c>
      <c r="Y75" s="140" t="str">
        <f>$Y$57</f>
        <v>Funderingspaal met C20/25 0% betongranulaat Lafgarge Holcim Limburg</v>
      </c>
    </row>
    <row r="76" spans="1:25" s="205" customFormat="1" ht="14.25" customHeight="1" x14ac:dyDescent="0.2">
      <c r="A76" s="196">
        <f t="shared" ref="A76" si="46">C76</f>
        <v>4</v>
      </c>
      <c r="B76" s="197" t="s">
        <v>55</v>
      </c>
      <c r="C76" s="198">
        <f t="shared" ref="C76" si="47">IF(B76=B75,C75,C75+1)</f>
        <v>4</v>
      </c>
      <c r="D76" s="199">
        <f t="shared" ref="D76" si="48">F76</f>
        <v>12</v>
      </c>
      <c r="E76" s="231" t="s">
        <v>62</v>
      </c>
      <c r="F76" s="200">
        <f t="shared" ref="F76" si="49">IF(E76=E75,F75,F75+1)</f>
        <v>12</v>
      </c>
      <c r="G76" s="201"/>
      <c r="H76" s="231" t="s">
        <v>357</v>
      </c>
      <c r="I76" s="321">
        <v>72</v>
      </c>
      <c r="J76" s="221" t="s">
        <v>50</v>
      </c>
      <c r="K76" s="292">
        <f>1-(N76/AVERAGE($N$55:$N$60))</f>
        <v>0.78398881121688002</v>
      </c>
      <c r="L76" s="331">
        <f>IF(K76&gt;-1,1-(O76/AVERAGE($O$55:$O$60)),1-(O76/AVERAGE($N$55:$N$60)))</f>
        <v>0.66963979637113058</v>
      </c>
      <c r="M76" s="342">
        <f>M$58</f>
        <v>1.3316975639118114</v>
      </c>
      <c r="N76" s="342">
        <f t="shared" si="7"/>
        <v>1.3316975639118114E-2</v>
      </c>
      <c r="O76" s="342">
        <f t="shared" ref="O76:U76" si="50">O$58</f>
        <v>1.3316975639118114E-2</v>
      </c>
      <c r="P76" s="203">
        <f t="shared" si="50"/>
        <v>100</v>
      </c>
      <c r="Q76" s="203">
        <f>'Invoer en resultaat'!$H$9</f>
        <v>100</v>
      </c>
      <c r="R76" s="203">
        <f t="shared" si="8"/>
        <v>0</v>
      </c>
      <c r="S76" s="357">
        <f t="shared" si="50"/>
        <v>0</v>
      </c>
      <c r="T76" s="354">
        <f t="shared" si="50"/>
        <v>0</v>
      </c>
      <c r="U76" s="190">
        <f t="shared" si="50"/>
        <v>0.2</v>
      </c>
      <c r="V76" s="174"/>
      <c r="W76" s="140" t="str">
        <f>$W$58</f>
        <v>dikte is diameter</v>
      </c>
      <c r="X76" s="140">
        <f>$X$58</f>
        <v>0</v>
      </c>
      <c r="Y76" s="140" t="str">
        <f>$Y$58</f>
        <v>Betonmortel C20/25 CEM I 30% granulaat – in situ voor GWW</v>
      </c>
    </row>
    <row r="77" spans="1:25" s="205" customFormat="1" ht="14.25" customHeight="1" x14ac:dyDescent="0.2">
      <c r="A77" s="196">
        <f t="shared" si="0"/>
        <v>4</v>
      </c>
      <c r="B77" s="197" t="s">
        <v>55</v>
      </c>
      <c r="C77" s="198">
        <f>IF(B77=B75,C75,C75+1)</f>
        <v>4</v>
      </c>
      <c r="D77" s="199">
        <f t="shared" si="40"/>
        <v>12</v>
      </c>
      <c r="E77" s="231" t="s">
        <v>62</v>
      </c>
      <c r="F77" s="200">
        <f>IF(E77=E75,F75,F75+1)</f>
        <v>12</v>
      </c>
      <c r="G77" s="201"/>
      <c r="H77" s="231" t="s">
        <v>274</v>
      </c>
      <c r="I77" s="321">
        <v>73</v>
      </c>
      <c r="J77" s="221" t="s">
        <v>50</v>
      </c>
      <c r="K77" s="292">
        <f>$K$59</f>
        <v>0.87947110543834461</v>
      </c>
      <c r="L77" s="331">
        <f>L$59</f>
        <v>0.81566718661722137</v>
      </c>
      <c r="M77" s="342">
        <f>M$59</f>
        <v>0.74305426572090061</v>
      </c>
      <c r="N77" s="342">
        <f t="shared" si="7"/>
        <v>7.430542657209006E-3</v>
      </c>
      <c r="O77" s="342">
        <f>O$59</f>
        <v>7.430542657209006E-3</v>
      </c>
      <c r="P77" s="203">
        <f>$P$59</f>
        <v>100</v>
      </c>
      <c r="Q77" s="203">
        <f>'Invoer en resultaat'!$H$9</f>
        <v>100</v>
      </c>
      <c r="R77" s="203">
        <f t="shared" si="8"/>
        <v>0</v>
      </c>
      <c r="S77" s="357">
        <f>$S$59</f>
        <v>0</v>
      </c>
      <c r="T77" s="354">
        <f>$T$59</f>
        <v>0</v>
      </c>
      <c r="U77" s="190">
        <f>$U$59</f>
        <v>0.15</v>
      </c>
      <c r="V77" s="174">
        <f>$V$59</f>
        <v>0</v>
      </c>
      <c r="W77" s="140" t="str">
        <f>$W$59</f>
        <v>dikte is diameter</v>
      </c>
      <c r="X77" s="140">
        <f>$X$59</f>
        <v>0</v>
      </c>
      <c r="Y77" s="140" t="str">
        <f>$Y$59</f>
        <v>Betonmortel C20/25 (CEM I)</v>
      </c>
    </row>
    <row r="78" spans="1:25" s="220" customFormat="1" ht="14.25" customHeight="1" x14ac:dyDescent="0.2">
      <c r="A78" s="208">
        <f t="shared" si="0"/>
        <v>4</v>
      </c>
      <c r="B78" s="209" t="s">
        <v>55</v>
      </c>
      <c r="C78" s="210">
        <f t="shared" si="39"/>
        <v>4</v>
      </c>
      <c r="D78" s="211">
        <f t="shared" si="40"/>
        <v>12</v>
      </c>
      <c r="E78" s="232" t="s">
        <v>62</v>
      </c>
      <c r="F78" s="213">
        <f t="shared" si="41"/>
        <v>12</v>
      </c>
      <c r="G78" s="214"/>
      <c r="H78" s="232" t="s">
        <v>92</v>
      </c>
      <c r="I78" s="321">
        <v>74</v>
      </c>
      <c r="J78" s="228" t="s">
        <v>50</v>
      </c>
      <c r="K78" s="296">
        <f>$K$60</f>
        <v>0.7857264096681682</v>
      </c>
      <c r="L78" s="331">
        <f>L$60</f>
        <v>0.67229722065283815</v>
      </c>
      <c r="M78" s="345">
        <f>M$60</f>
        <v>1.3209853612816012</v>
      </c>
      <c r="N78" s="345">
        <f t="shared" si="7"/>
        <v>1.3209853612816012E-2</v>
      </c>
      <c r="O78" s="345">
        <f>O$60</f>
        <v>1.3209853612816012E-2</v>
      </c>
      <c r="P78" s="216">
        <f>$P$60</f>
        <v>100</v>
      </c>
      <c r="Q78" s="203">
        <f>'Invoer en resultaat'!$H$9</f>
        <v>100</v>
      </c>
      <c r="R78" s="203">
        <f t="shared" si="8"/>
        <v>0</v>
      </c>
      <c r="S78" s="358">
        <f>$S$60</f>
        <v>0</v>
      </c>
      <c r="T78" s="359">
        <f>$T$60</f>
        <v>0</v>
      </c>
      <c r="U78" s="217">
        <f>$U$60</f>
        <v>0.2</v>
      </c>
      <c r="V78" s="218">
        <f>$V$60</f>
        <v>0</v>
      </c>
      <c r="W78" s="140" t="str">
        <f>$W$60</f>
        <v>dikte is diameter</v>
      </c>
      <c r="X78" s="140">
        <f>$X$60</f>
        <v>0</v>
      </c>
      <c r="Y78" s="140" t="str">
        <f>$Y$60</f>
        <v>Betonmortel C20/25 (CEM I)</v>
      </c>
    </row>
    <row r="79" spans="1:25" s="205" customFormat="1" ht="14.25" customHeight="1" x14ac:dyDescent="0.2">
      <c r="A79" s="196">
        <f t="shared" si="0"/>
        <v>4</v>
      </c>
      <c r="B79" s="197" t="s">
        <v>55</v>
      </c>
      <c r="C79" s="198">
        <f t="shared" si="39"/>
        <v>4</v>
      </c>
      <c r="D79" s="199">
        <f t="shared" si="40"/>
        <v>13</v>
      </c>
      <c r="E79" s="205" t="s">
        <v>116</v>
      </c>
      <c r="F79" s="200">
        <f t="shared" si="41"/>
        <v>13</v>
      </c>
      <c r="G79" s="201"/>
      <c r="H79" s="205" t="s">
        <v>12</v>
      </c>
      <c r="I79" s="321">
        <v>75</v>
      </c>
      <c r="J79" s="202" t="s">
        <v>49</v>
      </c>
      <c r="K79" s="292">
        <f t="shared" ref="K79:K86" si="51">1-(N79/AVERAGE($N$79:$N$86))</f>
        <v>0.95047361784117068</v>
      </c>
      <c r="L79" s="331">
        <f t="shared" ref="L79:L86" si="52">IF(K79&gt;-1,1-(O79/AVERAGE($O$79:$O$86)),1-(O79/AVERAGE($N$79:$N$86)))</f>
        <v>0.94750360175384696</v>
      </c>
      <c r="M79" s="343">
        <f>'MKI-waarden'!$N$33*(T79/'MKI-waarden'!$N$33)</f>
        <v>0.08</v>
      </c>
      <c r="N79" s="342">
        <f t="shared" si="7"/>
        <v>8.0000000000000002E-3</v>
      </c>
      <c r="O79" s="342">
        <f t="shared" ref="O79:O86" si="53">IF(K79&lt;-1,(2*AVERAGE($N$79:$N$86)),N79)</f>
        <v>8.0000000000000002E-3</v>
      </c>
      <c r="P79" s="203">
        <v>10</v>
      </c>
      <c r="Q79" s="203">
        <f>'Invoer en resultaat'!$H$9</f>
        <v>100</v>
      </c>
      <c r="R79" s="203">
        <f t="shared" si="8"/>
        <v>90</v>
      </c>
      <c r="S79" s="357">
        <f t="shared" ref="S79:S88" si="54">IF(Q79&lt;P79,0,ROUNDDOWN(Q79/P79-0.01,0))</f>
        <v>9</v>
      </c>
      <c r="T79" s="354">
        <v>0.08</v>
      </c>
      <c r="U79" s="190">
        <v>0</v>
      </c>
      <c r="W79" s="140" t="s">
        <v>167</v>
      </c>
      <c r="X79" s="140"/>
      <c r="Y79" s="140" t="str">
        <f>'MKI-waarden'!$A$33</f>
        <v>Damwanden, Europees naaldhout, damwandplanken</v>
      </c>
    </row>
    <row r="80" spans="1:25" s="205" customFormat="1" ht="14.25" customHeight="1" x14ac:dyDescent="0.2">
      <c r="A80" s="196">
        <f t="shared" si="0"/>
        <v>4</v>
      </c>
      <c r="B80" s="197" t="s">
        <v>55</v>
      </c>
      <c r="C80" s="198">
        <f t="shared" si="39"/>
        <v>4</v>
      </c>
      <c r="D80" s="199">
        <f t="shared" si="40"/>
        <v>13</v>
      </c>
      <c r="E80" s="205" t="s">
        <v>116</v>
      </c>
      <c r="F80" s="200">
        <f t="shared" si="41"/>
        <v>13</v>
      </c>
      <c r="G80" s="201"/>
      <c r="H80" s="205" t="s">
        <v>13</v>
      </c>
      <c r="I80" s="321">
        <v>76</v>
      </c>
      <c r="J80" s="202" t="s">
        <v>49</v>
      </c>
      <c r="K80" s="292">
        <f t="shared" si="51"/>
        <v>-0.60692886832686277</v>
      </c>
      <c r="L80" s="331">
        <f t="shared" si="52"/>
        <v>-0.70329376279482925</v>
      </c>
      <c r="M80" s="342">
        <f>T80/'MKI-waarden'!$N$29*'MKI-waarden'!$D$29</f>
        <v>5.1913466666666661</v>
      </c>
      <c r="N80" s="342">
        <f t="shared" si="7"/>
        <v>0.25956733333333332</v>
      </c>
      <c r="O80" s="342">
        <f t="shared" si="53"/>
        <v>0.25956733333333332</v>
      </c>
      <c r="P80" s="203">
        <v>20</v>
      </c>
      <c r="Q80" s="203">
        <f>'Invoer en resultaat'!$H$9</f>
        <v>100</v>
      </c>
      <c r="R80" s="203">
        <f t="shared" si="8"/>
        <v>80</v>
      </c>
      <c r="S80" s="357">
        <f t="shared" si="54"/>
        <v>4</v>
      </c>
      <c r="T80" s="354">
        <v>0.08</v>
      </c>
      <c r="U80" s="190">
        <v>0</v>
      </c>
      <c r="W80" s="140" t="s">
        <v>167</v>
      </c>
      <c r="X80" s="140"/>
      <c r="Y80" s="140" t="str">
        <f>'MKI-waarden'!$A$29</f>
        <v>Damwand, tropisch hardhout, damwandplanken</v>
      </c>
    </row>
    <row r="81" spans="1:25" s="205" customFormat="1" ht="14.25" customHeight="1" x14ac:dyDescent="0.2">
      <c r="A81" s="196">
        <f t="shared" si="0"/>
        <v>4</v>
      </c>
      <c r="B81" s="197" t="s">
        <v>55</v>
      </c>
      <c r="C81" s="198">
        <f t="shared" si="39"/>
        <v>4</v>
      </c>
      <c r="D81" s="199">
        <f t="shared" si="40"/>
        <v>13</v>
      </c>
      <c r="E81" s="205" t="s">
        <v>116</v>
      </c>
      <c r="F81" s="200">
        <f t="shared" si="41"/>
        <v>13</v>
      </c>
      <c r="G81" s="201"/>
      <c r="H81" s="205" t="s">
        <v>106</v>
      </c>
      <c r="I81" s="321">
        <v>77</v>
      </c>
      <c r="J81" s="202" t="s">
        <v>49</v>
      </c>
      <c r="K81" s="292">
        <f t="shared" si="51"/>
        <v>-1.325319359536965</v>
      </c>
      <c r="L81" s="331">
        <f t="shared" si="52"/>
        <v>-1</v>
      </c>
      <c r="M81" s="342">
        <f>T81/'MKI-waarden'!$N$43*'MKI-waarden'!$D$43</f>
        <v>18.780449999999998</v>
      </c>
      <c r="N81" s="342">
        <f t="shared" ref="N81:N155" si="55">IFERROR(IF(Q81&lt;P81,M81/Q81,M81/P81),"")</f>
        <v>0.37560899999999997</v>
      </c>
      <c r="O81" s="342">
        <f t="shared" si="53"/>
        <v>0.32306014093031421</v>
      </c>
      <c r="P81" s="203">
        <v>50</v>
      </c>
      <c r="Q81" s="203">
        <f>'Invoer en resultaat'!$H$9</f>
        <v>100</v>
      </c>
      <c r="R81" s="203">
        <f t="shared" ref="R81:R155" si="56">Q81-P81</f>
        <v>50</v>
      </c>
      <c r="S81" s="357">
        <f t="shared" si="54"/>
        <v>1</v>
      </c>
      <c r="T81" s="354">
        <v>0.03</v>
      </c>
      <c r="U81" s="190">
        <v>0</v>
      </c>
      <c r="W81" s="140" t="s">
        <v>167</v>
      </c>
      <c r="X81" s="140"/>
      <c r="Y81" s="140" t="str">
        <f>'MKI-waarden'!$A$42</f>
        <v>Damwand PCV nieuw</v>
      </c>
    </row>
    <row r="82" spans="1:25" s="205" customFormat="1" ht="14.25" customHeight="1" x14ac:dyDescent="0.2">
      <c r="A82" s="196">
        <f t="shared" si="0"/>
        <v>4</v>
      </c>
      <c r="B82" s="197" t="s">
        <v>55</v>
      </c>
      <c r="C82" s="198">
        <f t="shared" si="39"/>
        <v>4</v>
      </c>
      <c r="D82" s="199">
        <f t="shared" si="40"/>
        <v>13</v>
      </c>
      <c r="E82" s="205" t="s">
        <v>116</v>
      </c>
      <c r="F82" s="200">
        <f t="shared" si="41"/>
        <v>13</v>
      </c>
      <c r="G82" s="201"/>
      <c r="H82" s="205" t="s">
        <v>660</v>
      </c>
      <c r="I82" s="321">
        <v>78</v>
      </c>
      <c r="J82" s="202" t="s">
        <v>49</v>
      </c>
      <c r="K82" s="292">
        <f t="shared" si="51"/>
        <v>0.856419857595623</v>
      </c>
      <c r="L82" s="331">
        <f t="shared" si="52"/>
        <v>0.8478095914269036</v>
      </c>
      <c r="M82" s="342">
        <f>'MKI-waarden'!$D$38/'MKI-waarden'!$D$126*Database!M83</f>
        <v>1.6234757363983416</v>
      </c>
      <c r="N82" s="342">
        <f t="shared" si="55"/>
        <v>2.3192510519976308E-2</v>
      </c>
      <c r="O82" s="342">
        <f t="shared" si="53"/>
        <v>2.3192510519976308E-2</v>
      </c>
      <c r="P82" s="203">
        <v>70</v>
      </c>
      <c r="Q82" s="203">
        <f>'Invoer en resultaat'!$H$9</f>
        <v>100</v>
      </c>
      <c r="R82" s="203">
        <f t="shared" si="56"/>
        <v>30</v>
      </c>
      <c r="S82" s="357">
        <f t="shared" si="54"/>
        <v>1</v>
      </c>
      <c r="T82" s="354">
        <v>5.0000000000000001E-3</v>
      </c>
      <c r="U82" s="190">
        <v>0</v>
      </c>
      <c r="W82" s="140" t="s">
        <v>167</v>
      </c>
      <c r="X82" s="140"/>
      <c r="Y82" s="140" t="str">
        <f>'MKI-waarden'!$A$38</f>
        <v>Damwand, kunststof vezelversterkt</v>
      </c>
    </row>
    <row r="83" spans="1:25" s="205" customFormat="1" ht="14.25" customHeight="1" x14ac:dyDescent="0.2">
      <c r="A83" s="196">
        <f t="shared" ref="A83" si="57">C83</f>
        <v>4</v>
      </c>
      <c r="B83" s="197" t="s">
        <v>55</v>
      </c>
      <c r="C83" s="198">
        <f t="shared" ref="C83" si="58">IF(B83=B82,C82,C82+1)</f>
        <v>4</v>
      </c>
      <c r="D83" s="199">
        <f t="shared" ref="D83" si="59">F83</f>
        <v>13</v>
      </c>
      <c r="E83" s="205" t="s">
        <v>116</v>
      </c>
      <c r="F83" s="200">
        <f t="shared" ref="F83" si="60">IF(E83=E82,F82,F82+1)</f>
        <v>13</v>
      </c>
      <c r="G83" s="201"/>
      <c r="H83" s="205" t="s">
        <v>658</v>
      </c>
      <c r="I83" s="321">
        <v>79</v>
      </c>
      <c r="J83" s="202" t="s">
        <v>49</v>
      </c>
      <c r="K83" s="292">
        <f t="shared" si="51"/>
        <v>0.87786873755604022</v>
      </c>
      <c r="L83" s="331">
        <f t="shared" si="52"/>
        <v>0.87054472561710117</v>
      </c>
      <c r="M83" s="342">
        <f>T83*'MKI-waarden'!E128</f>
        <v>1.3809509999999998</v>
      </c>
      <c r="N83" s="342">
        <f t="shared" si="55"/>
        <v>1.9727871428571426E-2</v>
      </c>
      <c r="O83" s="342">
        <f t="shared" si="53"/>
        <v>1.9727871428571426E-2</v>
      </c>
      <c r="P83" s="203">
        <v>70</v>
      </c>
      <c r="Q83" s="203">
        <f>'Invoer en resultaat'!$H$9</f>
        <v>100</v>
      </c>
      <c r="R83" s="203">
        <f t="shared" si="56"/>
        <v>30</v>
      </c>
      <c r="S83" s="357">
        <f t="shared" si="54"/>
        <v>1</v>
      </c>
      <c r="T83" s="354">
        <v>5.0000000000000001E-3</v>
      </c>
      <c r="U83" s="190"/>
      <c r="W83" s="140" t="s">
        <v>167</v>
      </c>
      <c r="X83" s="140"/>
      <c r="Y83" s="140" t="str">
        <f>'MKI-waarden'!$A$128</f>
        <v>GVK, glasvezels in polyester, biobased hars</v>
      </c>
    </row>
    <row r="84" spans="1:25" s="205" customFormat="1" ht="14.25" customHeight="1" x14ac:dyDescent="0.2">
      <c r="A84" s="196">
        <f t="shared" ref="A84" si="61">C84</f>
        <v>4</v>
      </c>
      <c r="B84" s="197" t="s">
        <v>55</v>
      </c>
      <c r="C84" s="198">
        <f t="shared" ref="C84" si="62">IF(B84=B82,C82,C82+1)</f>
        <v>4</v>
      </c>
      <c r="D84" s="199">
        <f t="shared" ref="D84" si="63">F84</f>
        <v>13</v>
      </c>
      <c r="E84" s="205" t="s">
        <v>116</v>
      </c>
      <c r="F84" s="200">
        <f t="shared" ref="F84" si="64">IF(E84=E82,F82,F82+1)</f>
        <v>13</v>
      </c>
      <c r="G84" s="201"/>
      <c r="H84" s="314" t="s">
        <v>572</v>
      </c>
      <c r="I84" s="321">
        <v>80</v>
      </c>
      <c r="J84" s="202" t="s">
        <v>49</v>
      </c>
      <c r="K84" s="292">
        <f t="shared" si="51"/>
        <v>-6.6326223371232507E-2</v>
      </c>
      <c r="L84" s="331">
        <f t="shared" si="52"/>
        <v>-0.13027206192635421</v>
      </c>
      <c r="M84" s="342">
        <f>T84/'MKI-waarden'!N41*'MKI-waarden'!D38</f>
        <v>8.612187500000001</v>
      </c>
      <c r="N84" s="342">
        <f t="shared" si="55"/>
        <v>0.17224375000000003</v>
      </c>
      <c r="O84" s="342">
        <f t="shared" si="53"/>
        <v>0.17224375000000003</v>
      </c>
      <c r="P84" s="203">
        <v>50</v>
      </c>
      <c r="Q84" s="203">
        <f>'Invoer en resultaat'!$H$9</f>
        <v>100</v>
      </c>
      <c r="R84" s="203">
        <f t="shared" si="56"/>
        <v>50</v>
      </c>
      <c r="S84" s="357">
        <f t="shared" si="54"/>
        <v>1</v>
      </c>
      <c r="T84" s="354">
        <v>5.0000000000000001E-3</v>
      </c>
      <c r="U84" s="190"/>
      <c r="V84" s="333" t="s">
        <v>167</v>
      </c>
      <c r="W84" s="140" t="s">
        <v>167</v>
      </c>
      <c r="X84" s="184" t="s">
        <v>571</v>
      </c>
      <c r="Y84" s="140" t="str">
        <f>'MKI-waarden'!$A$38</f>
        <v>Damwand, kunststof vezelversterkt</v>
      </c>
    </row>
    <row r="85" spans="1:25" s="205" customFormat="1" ht="14.25" customHeight="1" x14ac:dyDescent="0.2">
      <c r="A85" s="196">
        <f t="shared" ref="A85:A164" si="65">C85</f>
        <v>4</v>
      </c>
      <c r="B85" s="197" t="s">
        <v>55</v>
      </c>
      <c r="C85" s="198">
        <f>IF(B85=B82,C82,C82+1)</f>
        <v>4</v>
      </c>
      <c r="D85" s="199">
        <f t="shared" si="40"/>
        <v>13</v>
      </c>
      <c r="E85" s="205" t="s">
        <v>116</v>
      </c>
      <c r="F85" s="200">
        <f>IF(E85=E82,F82,F82+1)</f>
        <v>13</v>
      </c>
      <c r="G85" s="201"/>
      <c r="H85" s="205" t="s">
        <v>4</v>
      </c>
      <c r="I85" s="321">
        <v>81</v>
      </c>
      <c r="J85" s="202" t="s">
        <v>49</v>
      </c>
      <c r="K85" s="292">
        <f t="shared" si="51"/>
        <v>-1.1272855713228629</v>
      </c>
      <c r="L85" s="331">
        <f t="shared" si="52"/>
        <v>-1</v>
      </c>
      <c r="M85" s="342">
        <f>T85/'MKI-waarden'!N39*'MKI-waarden'!D39</f>
        <v>10.308617647058822</v>
      </c>
      <c r="N85" s="342">
        <f t="shared" si="55"/>
        <v>0.34362058823529407</v>
      </c>
      <c r="O85" s="342">
        <f t="shared" si="53"/>
        <v>0.32306014093031421</v>
      </c>
      <c r="P85" s="203">
        <v>30</v>
      </c>
      <c r="Q85" s="203">
        <f>'Invoer en resultaat'!$H$9</f>
        <v>100</v>
      </c>
      <c r="R85" s="203">
        <f t="shared" si="56"/>
        <v>70</v>
      </c>
      <c r="S85" s="357">
        <f t="shared" si="54"/>
        <v>3</v>
      </c>
      <c r="T85" s="354">
        <v>5.0000000000000001E-3</v>
      </c>
      <c r="U85" s="190">
        <v>0</v>
      </c>
      <c r="W85" s="140" t="s">
        <v>167</v>
      </c>
      <c r="X85" s="140"/>
      <c r="Y85" s="140" t="str">
        <f>'MKI-waarden'!$A$39</f>
        <v>Damwand Staal, constructiestaal</v>
      </c>
    </row>
    <row r="86" spans="1:25" s="205" customFormat="1" ht="14.25" customHeight="1" x14ac:dyDescent="0.2">
      <c r="A86" s="196">
        <f>C86</f>
        <v>4</v>
      </c>
      <c r="B86" s="197" t="s">
        <v>55</v>
      </c>
      <c r="C86" s="198">
        <f>IF(B86=B88,C88,C88+1)</f>
        <v>4</v>
      </c>
      <c r="D86" s="199">
        <f>F86</f>
        <v>13</v>
      </c>
      <c r="E86" s="205" t="s">
        <v>116</v>
      </c>
      <c r="F86" s="200">
        <f>IF(E86=E88,F88,F88+1)</f>
        <v>13</v>
      </c>
      <c r="G86" s="201"/>
      <c r="H86" s="205" t="s">
        <v>1</v>
      </c>
      <c r="I86" s="321">
        <v>82</v>
      </c>
      <c r="J86" s="202" t="s">
        <v>49</v>
      </c>
      <c r="K86" s="292">
        <f t="shared" si="51"/>
        <v>0.44109780956509026</v>
      </c>
      <c r="L86" s="331">
        <f t="shared" si="52"/>
        <v>0.40758135985736121</v>
      </c>
      <c r="M86" s="342">
        <f>T86/'MKI-waarden'!$N$31*'MKI-waarden'!$D$31</f>
        <v>4.5139755102040811</v>
      </c>
      <c r="N86" s="342">
        <f t="shared" si="55"/>
        <v>9.027951020408162E-2</v>
      </c>
      <c r="O86" s="342">
        <f t="shared" si="53"/>
        <v>9.027951020408162E-2</v>
      </c>
      <c r="P86" s="203">
        <v>50</v>
      </c>
      <c r="Q86" s="203">
        <f>'Invoer en resultaat'!$H$9</f>
        <v>100</v>
      </c>
      <c r="R86" s="203">
        <f t="shared" si="56"/>
        <v>50</v>
      </c>
      <c r="S86" s="357">
        <f t="shared" si="54"/>
        <v>1</v>
      </c>
      <c r="T86" s="354">
        <v>0.1</v>
      </c>
      <c r="U86" s="190">
        <v>0</v>
      </c>
      <c r="W86" s="140" t="s">
        <v>167</v>
      </c>
      <c r="X86" s="140"/>
      <c r="Y86" s="140" t="str">
        <f>'MKI-waarden'!$A$31</f>
        <v>Damwand, Beton</v>
      </c>
    </row>
    <row r="87" spans="1:25" s="205" customFormat="1" ht="14.25" customHeight="1" x14ac:dyDescent="0.2">
      <c r="A87" s="196">
        <f t="shared" si="65"/>
        <v>4</v>
      </c>
      <c r="B87" s="197" t="s">
        <v>55</v>
      </c>
      <c r="C87" s="198">
        <f>IF(B87=B85,C85,C85+1)</f>
        <v>4</v>
      </c>
      <c r="D87" s="199">
        <f t="shared" si="40"/>
        <v>13</v>
      </c>
      <c r="E87" s="205" t="s">
        <v>116</v>
      </c>
      <c r="F87" s="200">
        <f>IF(E87=E85,F85,F85+1)</f>
        <v>13</v>
      </c>
      <c r="G87" s="201"/>
      <c r="H87" s="205" t="s">
        <v>28</v>
      </c>
      <c r="I87" s="321">
        <v>83</v>
      </c>
      <c r="J87" s="202" t="s">
        <v>49</v>
      </c>
      <c r="K87" s="292">
        <f>1-(N87/AVERAGE($N$79:$N$88))</f>
        <v>-5.9997319345783495</v>
      </c>
      <c r="L87" s="331">
        <f>IF(K87&gt;-1,1-(O87/AVERAGE($O$79:$O$88)),1-(O87/AVERAGE($N$79:$N$88)))</f>
        <v>-1</v>
      </c>
      <c r="M87" s="342">
        <f>T87/'MKI-waarden'!$N$102*'MKI-waarden'!$D$102</f>
        <v>163.8099775</v>
      </c>
      <c r="N87" s="342">
        <f t="shared" si="55"/>
        <v>3.2761995499999998</v>
      </c>
      <c r="O87" s="342">
        <f>IF(K87&lt;-1,(2*AVERAGE($N$79:$N$88)),N87)</f>
        <v>0.93609286201825148</v>
      </c>
      <c r="P87" s="203">
        <v>50</v>
      </c>
      <c r="Q87" s="203">
        <f>'Invoer en resultaat'!$H$9</f>
        <v>100</v>
      </c>
      <c r="R87" s="203">
        <f t="shared" si="56"/>
        <v>50</v>
      </c>
      <c r="S87" s="357">
        <f t="shared" si="54"/>
        <v>1</v>
      </c>
      <c r="T87" s="354">
        <v>5.0000000000000001E-3</v>
      </c>
      <c r="U87" s="190">
        <v>0</v>
      </c>
      <c r="W87" s="140" t="s">
        <v>167</v>
      </c>
      <c r="X87" s="140"/>
      <c r="Y87" s="140" t="str">
        <f>'MKI-waarden'!$A$102</f>
        <v>RVS plaat, 1x1, 4 mm dik</v>
      </c>
    </row>
    <row r="88" spans="1:25" s="220" customFormat="1" ht="14.25" customHeight="1" x14ac:dyDescent="0.2">
      <c r="A88" s="208">
        <f t="shared" si="65"/>
        <v>4</v>
      </c>
      <c r="B88" s="209" t="s">
        <v>55</v>
      </c>
      <c r="C88" s="210">
        <f t="shared" si="39"/>
        <v>4</v>
      </c>
      <c r="D88" s="211">
        <f t="shared" si="40"/>
        <v>13</v>
      </c>
      <c r="E88" s="220" t="s">
        <v>116</v>
      </c>
      <c r="F88" s="213">
        <f t="shared" si="41"/>
        <v>13</v>
      </c>
      <c r="G88" s="214"/>
      <c r="H88" s="220" t="s">
        <v>6</v>
      </c>
      <c r="I88" s="321">
        <v>84</v>
      </c>
      <c r="J88" s="215" t="s">
        <v>49</v>
      </c>
      <c r="K88" s="296">
        <f>1-(N88/AVERAGE($N$79:$N$88))</f>
        <v>0.76065580474896133</v>
      </c>
      <c r="L88" s="332">
        <f>IF(K88&gt;-1,1-(O88/AVERAGE($O$79:$O$88)),1-(O88/AVERAGE($N$79:$N$88)))</f>
        <v>0.5059023945787271</v>
      </c>
      <c r="M88" s="345">
        <f>T88*'MKI-waarden'!D5</f>
        <v>5.6012098184999992</v>
      </c>
      <c r="N88" s="345">
        <f t="shared" si="55"/>
        <v>0.11202419636999998</v>
      </c>
      <c r="O88" s="345">
        <f>IF(K88&lt;-1,(2*AVERAGE($N$79:$N$88)),N88)</f>
        <v>0.11202419636999998</v>
      </c>
      <c r="P88" s="216">
        <v>50</v>
      </c>
      <c r="Q88" s="216">
        <f>'Invoer en resultaat'!$H$9</f>
        <v>100</v>
      </c>
      <c r="R88" s="216">
        <f t="shared" si="56"/>
        <v>50</v>
      </c>
      <c r="S88" s="358">
        <f t="shared" si="54"/>
        <v>1</v>
      </c>
      <c r="T88" s="359">
        <v>5.0000000000000001E-3</v>
      </c>
      <c r="U88" s="217">
        <v>0</v>
      </c>
      <c r="W88" s="229" t="s">
        <v>334</v>
      </c>
      <c r="X88" s="229"/>
      <c r="Y88" s="229" t="str">
        <f>'MKI-waarden'!$A$5</f>
        <v>Kolommen, aluminium, per kg constructiegewicht.</v>
      </c>
    </row>
    <row r="89" spans="1:25" s="205" customFormat="1" ht="14.25" customHeight="1" x14ac:dyDescent="0.2">
      <c r="A89" s="196">
        <f t="shared" si="65"/>
        <v>4</v>
      </c>
      <c r="B89" s="197" t="s">
        <v>55</v>
      </c>
      <c r="C89" s="198">
        <f>IF(B89=B88,C88,C88+1)</f>
        <v>4</v>
      </c>
      <c r="D89" s="199">
        <f t="shared" si="40"/>
        <v>14</v>
      </c>
      <c r="E89" s="231" t="s">
        <v>94</v>
      </c>
      <c r="F89" s="200">
        <f>IF(E89=E88,F88,F88+1)</f>
        <v>14</v>
      </c>
      <c r="G89" s="201"/>
      <c r="H89" s="231" t="s">
        <v>660</v>
      </c>
      <c r="I89" s="321">
        <v>85</v>
      </c>
      <c r="J89" s="233" t="s">
        <v>49</v>
      </c>
      <c r="K89" s="292">
        <f t="shared" ref="K89" si="66">K409</f>
        <v>0.23943587512008757</v>
      </c>
      <c r="L89" s="331">
        <f t="shared" ref="L89" si="67">L409</f>
        <v>0.82309351768658201</v>
      </c>
      <c r="M89" s="344">
        <f t="shared" ref="M89" si="68">M409</f>
        <v>4.5931666666666668</v>
      </c>
      <c r="N89" s="344">
        <f t="shared" si="55"/>
        <v>6.1242222222222226E-2</v>
      </c>
      <c r="O89" s="344">
        <f t="shared" ref="O89" si="69">O409</f>
        <v>6.1242222222222226E-2</v>
      </c>
      <c r="P89" s="234">
        <f t="shared" ref="P89" si="70">P409</f>
        <v>75</v>
      </c>
      <c r="Q89" s="203">
        <f>'Invoer en resultaat'!$H$9</f>
        <v>100</v>
      </c>
      <c r="R89" s="203">
        <f t="shared" si="56"/>
        <v>25</v>
      </c>
      <c r="S89" s="357">
        <f t="shared" ref="S89:U89" si="71">S409</f>
        <v>1</v>
      </c>
      <c r="T89" s="363">
        <f t="shared" si="71"/>
        <v>7.0000000000000001E-3</v>
      </c>
      <c r="U89" s="235">
        <f t="shared" si="71"/>
        <v>0</v>
      </c>
      <c r="W89" s="140" t="s">
        <v>173</v>
      </c>
      <c r="X89" s="184"/>
      <c r="Y89" s="140" t="str">
        <f t="shared" ref="Y89" si="72">Y409</f>
        <v>Damwand, kunststof vezelversterkt</v>
      </c>
    </row>
    <row r="90" spans="1:25" s="205" customFormat="1" ht="14.25" customHeight="1" x14ac:dyDescent="0.2">
      <c r="A90" s="196">
        <f t="shared" ref="A90" si="73">C90</f>
        <v>4</v>
      </c>
      <c r="B90" s="197" t="s">
        <v>55</v>
      </c>
      <c r="C90" s="198">
        <f>IF(B90=B89,C89,C89+1)</f>
        <v>4</v>
      </c>
      <c r="D90" s="199">
        <f t="shared" ref="D90" si="74">F90</f>
        <v>14</v>
      </c>
      <c r="E90" s="231" t="s">
        <v>94</v>
      </c>
      <c r="F90" s="200">
        <f>IF(E90=E89,F89,F89+1)</f>
        <v>14</v>
      </c>
      <c r="G90" s="201"/>
      <c r="H90" s="231" t="str">
        <f>H$410</f>
        <v>glasvezel kunststof (gvk/PET), biobased hars</v>
      </c>
      <c r="I90" s="321">
        <v>86</v>
      </c>
      <c r="J90" s="233" t="str">
        <f t="shared" ref="J90:Y90" si="75">J$410</f>
        <v>m2</v>
      </c>
      <c r="K90" s="292">
        <f t="shared" si="75"/>
        <v>0.32070627633494797</v>
      </c>
      <c r="L90" s="331">
        <f t="shared" si="75"/>
        <v>0.84199693466985237</v>
      </c>
      <c r="M90" s="344">
        <f t="shared" si="75"/>
        <v>4.1023619</v>
      </c>
      <c r="N90" s="344">
        <f t="shared" si="75"/>
        <v>5.469815866666667E-2</v>
      </c>
      <c r="O90" s="344">
        <f t="shared" si="75"/>
        <v>5.469815866666667E-2</v>
      </c>
      <c r="P90" s="234">
        <f t="shared" si="75"/>
        <v>75</v>
      </c>
      <c r="Q90" s="203">
        <f t="shared" si="75"/>
        <v>100</v>
      </c>
      <c r="R90" s="204">
        <f t="shared" si="75"/>
        <v>0</v>
      </c>
      <c r="S90" s="363">
        <f t="shared" si="75"/>
        <v>1</v>
      </c>
      <c r="T90" s="363">
        <f t="shared" si="75"/>
        <v>7.0000000000000001E-3</v>
      </c>
      <c r="U90" s="205">
        <f t="shared" si="75"/>
        <v>0</v>
      </c>
      <c r="V90" s="140">
        <f t="shared" si="75"/>
        <v>0</v>
      </c>
      <c r="W90" s="140" t="str">
        <f t="shared" si="75"/>
        <v>alleen plaat wand; geen versteviging</v>
      </c>
      <c r="X90" s="184"/>
      <c r="Y90" s="205" t="str">
        <f t="shared" si="75"/>
        <v>GVK, glasvezels in polyester, biobased hars</v>
      </c>
    </row>
    <row r="91" spans="1:25" s="205" customFormat="1" ht="14.25" customHeight="1" x14ac:dyDescent="0.2">
      <c r="A91" s="196">
        <f t="shared" si="65"/>
        <v>4</v>
      </c>
      <c r="B91" s="197" t="s">
        <v>55</v>
      </c>
      <c r="C91" s="198">
        <f>IF(B91=B89,C89,C89+1)</f>
        <v>4</v>
      </c>
      <c r="D91" s="199">
        <f t="shared" si="40"/>
        <v>14</v>
      </c>
      <c r="E91" s="231" t="s">
        <v>94</v>
      </c>
      <c r="F91" s="200">
        <f>IF(E91=E89,F89,F89+1)</f>
        <v>14</v>
      </c>
      <c r="G91" s="201"/>
      <c r="H91" s="231" t="s">
        <v>150</v>
      </c>
      <c r="I91" s="321">
        <v>87</v>
      </c>
      <c r="J91" s="221" t="s">
        <v>49</v>
      </c>
      <c r="K91" s="292">
        <f>K411</f>
        <v>-1.5604442409054116</v>
      </c>
      <c r="L91" s="331">
        <f t="shared" ref="L91" si="76">L411</f>
        <v>-1</v>
      </c>
      <c r="M91" s="344">
        <f>M411</f>
        <v>10.308617647058822</v>
      </c>
      <c r="N91" s="344">
        <f t="shared" si="55"/>
        <v>0.20617235294117645</v>
      </c>
      <c r="O91" s="344">
        <f t="shared" ref="O91" si="77">O411</f>
        <v>0.16104420447622855</v>
      </c>
      <c r="P91" s="234">
        <f>P411</f>
        <v>50</v>
      </c>
      <c r="Q91" s="203">
        <f>'Invoer en resultaat'!$H$9</f>
        <v>100</v>
      </c>
      <c r="R91" s="203">
        <f t="shared" si="56"/>
        <v>50</v>
      </c>
      <c r="S91" s="357">
        <f t="shared" ref="S91:U95" si="78">S411</f>
        <v>1</v>
      </c>
      <c r="T91" s="363">
        <f t="shared" si="78"/>
        <v>5.0000000000000001E-3</v>
      </c>
      <c r="U91" s="235">
        <f t="shared" si="78"/>
        <v>0</v>
      </c>
      <c r="W91" s="140" t="s">
        <v>173</v>
      </c>
      <c r="X91" s="140"/>
      <c r="Y91" s="140" t="str">
        <f>Y411</f>
        <v>Damwand Staal, constructiestaal</v>
      </c>
    </row>
    <row r="92" spans="1:25" s="205" customFormat="1" ht="14.25" customHeight="1" x14ac:dyDescent="0.2">
      <c r="A92" s="196">
        <f t="shared" si="65"/>
        <v>4</v>
      </c>
      <c r="B92" s="197" t="s">
        <v>55</v>
      </c>
      <c r="C92" s="198">
        <f t="shared" si="39"/>
        <v>4</v>
      </c>
      <c r="D92" s="199">
        <f t="shared" si="40"/>
        <v>14</v>
      </c>
      <c r="E92" s="231" t="s">
        <v>94</v>
      </c>
      <c r="F92" s="200">
        <f t="shared" si="41"/>
        <v>14</v>
      </c>
      <c r="G92" s="201"/>
      <c r="H92" s="231" t="s">
        <v>1</v>
      </c>
      <c r="I92" s="321">
        <v>88</v>
      </c>
      <c r="J92" s="221" t="s">
        <v>49</v>
      </c>
      <c r="K92" s="292">
        <f>K412</f>
        <v>0.32729394021199232</v>
      </c>
      <c r="L92" s="331">
        <f t="shared" ref="L92" si="79">L412</f>
        <v>0.26750407249231711</v>
      </c>
      <c r="M92" s="344">
        <f>M412</f>
        <v>5.4167706122448971</v>
      </c>
      <c r="N92" s="344">
        <f t="shared" si="55"/>
        <v>5.4167706122448971E-2</v>
      </c>
      <c r="O92" s="344">
        <f t="shared" ref="O92" si="80">O412</f>
        <v>5.4167706122448971E-2</v>
      </c>
      <c r="P92" s="234">
        <f>P412</f>
        <v>100</v>
      </c>
      <c r="Q92" s="203">
        <f>'Invoer en resultaat'!$H$9</f>
        <v>100</v>
      </c>
      <c r="R92" s="203">
        <f t="shared" si="56"/>
        <v>0</v>
      </c>
      <c r="S92" s="357">
        <f t="shared" si="78"/>
        <v>0</v>
      </c>
      <c r="T92" s="363">
        <f t="shared" si="78"/>
        <v>0.12</v>
      </c>
      <c r="U92" s="235">
        <f t="shared" si="78"/>
        <v>0</v>
      </c>
      <c r="W92" s="140" t="s">
        <v>173</v>
      </c>
      <c r="X92" s="140"/>
      <c r="Y92" s="140" t="str">
        <f>Y412</f>
        <v>Damwand, Beton</v>
      </c>
    </row>
    <row r="93" spans="1:25" s="205" customFormat="1" ht="14.25" customHeight="1" x14ac:dyDescent="0.2">
      <c r="A93" s="196">
        <f t="shared" si="65"/>
        <v>4</v>
      </c>
      <c r="B93" s="197" t="s">
        <v>55</v>
      </c>
      <c r="C93" s="198">
        <f t="shared" si="39"/>
        <v>4</v>
      </c>
      <c r="D93" s="199">
        <f t="shared" si="40"/>
        <v>14</v>
      </c>
      <c r="E93" s="231" t="s">
        <v>94</v>
      </c>
      <c r="F93" s="200">
        <f t="shared" si="41"/>
        <v>14</v>
      </c>
      <c r="G93" s="201"/>
      <c r="H93" s="231" t="s">
        <v>47</v>
      </c>
      <c r="I93" s="321">
        <v>89</v>
      </c>
      <c r="J93" s="221" t="s">
        <v>49</v>
      </c>
      <c r="K93" s="292">
        <f>K413</f>
        <v>0.89464594484985382</v>
      </c>
      <c r="L93" s="331">
        <f t="shared" ref="L93" si="81">L413</f>
        <v>0.88528211509166255</v>
      </c>
      <c r="M93" s="344">
        <f>M413</f>
        <v>0.84833299999999978</v>
      </c>
      <c r="N93" s="344">
        <f t="shared" si="55"/>
        <v>8.4833299999999973E-3</v>
      </c>
      <c r="O93" s="344">
        <f t="shared" ref="O93" si="82">O413</f>
        <v>8.4833299999999973E-3</v>
      </c>
      <c r="P93" s="234">
        <f>P413</f>
        <v>100</v>
      </c>
      <c r="Q93" s="203">
        <f>'Invoer en resultaat'!$H$9</f>
        <v>100</v>
      </c>
      <c r="R93" s="203">
        <f t="shared" si="56"/>
        <v>0</v>
      </c>
      <c r="S93" s="357">
        <f t="shared" si="78"/>
        <v>0</v>
      </c>
      <c r="T93" s="363">
        <f t="shared" si="78"/>
        <v>0.1</v>
      </c>
      <c r="U93" s="235">
        <f t="shared" si="78"/>
        <v>0</v>
      </c>
      <c r="W93" s="140" t="s">
        <v>173</v>
      </c>
      <c r="X93" s="140"/>
      <c r="Y93" s="140" t="str">
        <f>Y413</f>
        <v>Straatbaksteen GWW, KNB</v>
      </c>
    </row>
    <row r="94" spans="1:25" s="205" customFormat="1" ht="14.25" customHeight="1" x14ac:dyDescent="0.2">
      <c r="A94" s="196">
        <f t="shared" si="65"/>
        <v>4</v>
      </c>
      <c r="B94" s="197" t="s">
        <v>55</v>
      </c>
      <c r="C94" s="198">
        <f t="shared" si="39"/>
        <v>4</v>
      </c>
      <c r="D94" s="199">
        <f t="shared" si="40"/>
        <v>14</v>
      </c>
      <c r="E94" s="231" t="s">
        <v>94</v>
      </c>
      <c r="F94" s="200">
        <f t="shared" si="41"/>
        <v>14</v>
      </c>
      <c r="G94" s="201"/>
      <c r="H94" s="231" t="s">
        <v>104</v>
      </c>
      <c r="I94" s="321">
        <v>90</v>
      </c>
      <c r="J94" s="221" t="s">
        <v>49</v>
      </c>
      <c r="K94" s="292">
        <f>K414</f>
        <v>0.78929188969970776</v>
      </c>
      <c r="L94" s="331">
        <f t="shared" ref="L94" si="83">L414</f>
        <v>0.77056423018332498</v>
      </c>
      <c r="M94" s="344">
        <f>M414</f>
        <v>1.6966659999999996</v>
      </c>
      <c r="N94" s="344">
        <f t="shared" si="55"/>
        <v>1.6966659999999995E-2</v>
      </c>
      <c r="O94" s="344">
        <f t="shared" ref="O94" si="84">O414</f>
        <v>1.6966659999999995E-2</v>
      </c>
      <c r="P94" s="234">
        <f>P414</f>
        <v>100</v>
      </c>
      <c r="Q94" s="203">
        <f>'Invoer en resultaat'!$H$9</f>
        <v>100</v>
      </c>
      <c r="R94" s="203">
        <f t="shared" si="56"/>
        <v>0</v>
      </c>
      <c r="S94" s="357">
        <f t="shared" si="78"/>
        <v>0</v>
      </c>
      <c r="T94" s="363">
        <f t="shared" si="78"/>
        <v>0.26</v>
      </c>
      <c r="U94" s="235">
        <f t="shared" si="78"/>
        <v>0</v>
      </c>
      <c r="W94" s="140" t="s">
        <v>174</v>
      </c>
      <c r="X94" s="140"/>
      <c r="Y94" s="140" t="str">
        <f>Y414</f>
        <v>Straatbaksteen GWW, KNB</v>
      </c>
    </row>
    <row r="95" spans="1:25" s="220" customFormat="1" ht="14.25" customHeight="1" x14ac:dyDescent="0.2">
      <c r="A95" s="208">
        <f t="shared" si="65"/>
        <v>4</v>
      </c>
      <c r="B95" s="209" t="s">
        <v>55</v>
      </c>
      <c r="C95" s="210">
        <f t="shared" si="39"/>
        <v>4</v>
      </c>
      <c r="D95" s="211">
        <f t="shared" si="40"/>
        <v>14</v>
      </c>
      <c r="E95" s="232" t="s">
        <v>94</v>
      </c>
      <c r="F95" s="213">
        <f t="shared" si="41"/>
        <v>14</v>
      </c>
      <c r="G95" s="214"/>
      <c r="H95" s="232" t="s">
        <v>95</v>
      </c>
      <c r="I95" s="321">
        <v>91</v>
      </c>
      <c r="J95" s="228" t="s">
        <v>49</v>
      </c>
      <c r="K95" s="296">
        <f>K415</f>
        <v>-1.0109296853111784</v>
      </c>
      <c r="L95" s="332">
        <v>-1</v>
      </c>
      <c r="M95" s="346">
        <f>M415</f>
        <v>5.667349999999999</v>
      </c>
      <c r="N95" s="346">
        <f t="shared" si="55"/>
        <v>0.16192428571428569</v>
      </c>
      <c r="O95" s="346">
        <f t="shared" ref="O95" si="85">O415</f>
        <v>0.16104420447622855</v>
      </c>
      <c r="P95" s="257">
        <f>P415</f>
        <v>35</v>
      </c>
      <c r="Q95" s="216">
        <f>'Invoer en resultaat'!$H$9</f>
        <v>100</v>
      </c>
      <c r="R95" s="203">
        <f t="shared" si="56"/>
        <v>65</v>
      </c>
      <c r="S95" s="358">
        <f t="shared" si="78"/>
        <v>2</v>
      </c>
      <c r="T95" s="364">
        <f t="shared" si="78"/>
        <v>0.03</v>
      </c>
      <c r="U95" s="258">
        <f t="shared" si="78"/>
        <v>0</v>
      </c>
      <c r="W95" s="229" t="s">
        <v>335</v>
      </c>
      <c r="X95" s="230" t="s">
        <v>267</v>
      </c>
      <c r="Y95" s="229" t="str">
        <f>Y415</f>
        <v>Buitenbeglazing, Dubbel glas; droog beglaasd</v>
      </c>
    </row>
    <row r="96" spans="1:25" s="205" customFormat="1" ht="14.25" customHeight="1" x14ac:dyDescent="0.2">
      <c r="A96" s="196">
        <f t="shared" si="65"/>
        <v>4</v>
      </c>
      <c r="B96" s="222" t="s">
        <v>55</v>
      </c>
      <c r="C96" s="198">
        <f t="shared" si="39"/>
        <v>4</v>
      </c>
      <c r="D96" s="199">
        <f t="shared" si="40"/>
        <v>15</v>
      </c>
      <c r="E96" s="205" t="s">
        <v>79</v>
      </c>
      <c r="F96" s="200">
        <f t="shared" si="41"/>
        <v>15</v>
      </c>
      <c r="G96" s="201"/>
      <c r="H96" s="205" t="s">
        <v>613</v>
      </c>
      <c r="I96" s="321">
        <v>92</v>
      </c>
      <c r="J96" s="221" t="s">
        <v>50</v>
      </c>
      <c r="K96" s="292">
        <f t="shared" ref="K96:K105" si="86">1-(N96/AVERAGE($N$241:$N$250))</f>
        <v>-0.83225471280787522</v>
      </c>
      <c r="L96" s="331">
        <v>-1</v>
      </c>
      <c r="M96" s="342">
        <f>'MKI-waarden'!D54</f>
        <v>0.87902413793103451</v>
      </c>
      <c r="N96" s="342">
        <f t="shared" si="55"/>
        <v>7.325201149425288E-2</v>
      </c>
      <c r="O96" s="342">
        <f t="shared" ref="O96:O105" si="87">IF(K96&lt;-1,(2*AVERAGE($N$96:$N$105)),N96)</f>
        <v>7.325201149425288E-2</v>
      </c>
      <c r="P96" s="203">
        <v>12</v>
      </c>
      <c r="Q96" s="203">
        <f>'Invoer en resultaat'!$H$9</f>
        <v>100</v>
      </c>
      <c r="R96" s="203">
        <f t="shared" si="56"/>
        <v>88</v>
      </c>
      <c r="S96" s="357">
        <f t="shared" ref="S96:S107" si="88">IF(Q96&lt;P96,0,ROUNDDOWN(Q96/P96-0.01,0))</f>
        <v>8</v>
      </c>
      <c r="T96" s="354">
        <v>5.0000000000000001E-3</v>
      </c>
      <c r="U96" s="190">
        <v>0.1</v>
      </c>
      <c r="V96" s="140" t="s">
        <v>614</v>
      </c>
      <c r="W96" s="140" t="s">
        <v>270</v>
      </c>
      <c r="X96" s="184"/>
      <c r="Y96" s="140" t="str">
        <f>'MKI-waarden'!$A$54</f>
        <v>Waterleiding bamboe, 100mm</v>
      </c>
    </row>
    <row r="97" spans="1:25" s="205" customFormat="1" ht="14.25" customHeight="1" x14ac:dyDescent="0.2">
      <c r="A97" s="196">
        <f t="shared" si="65"/>
        <v>4</v>
      </c>
      <c r="B97" s="222" t="s">
        <v>55</v>
      </c>
      <c r="C97" s="198">
        <f>IF(B97=B96,C96,C96+1)</f>
        <v>4</v>
      </c>
      <c r="D97" s="199">
        <f t="shared" si="40"/>
        <v>15</v>
      </c>
      <c r="E97" s="205" t="s">
        <v>79</v>
      </c>
      <c r="F97" s="200">
        <f>IF(E97=E96,F96,F96+1)</f>
        <v>15</v>
      </c>
      <c r="G97" s="201"/>
      <c r="H97" s="205" t="s">
        <v>5</v>
      </c>
      <c r="I97" s="321">
        <v>93</v>
      </c>
      <c r="J97" s="221" t="s">
        <v>50</v>
      </c>
      <c r="K97" s="292">
        <f t="shared" si="86"/>
        <v>0.80999527449102071</v>
      </c>
      <c r="L97" s="331">
        <f>IF(K97&gt;-1,1-(O97/AVERAGE($O$96:$O$105)),1-(O97/AVERAGE($N$96:$N$105)))</f>
        <v>0.76149994472833482</v>
      </c>
      <c r="M97" s="342">
        <f>((PI()*((U97/2)^2))-(PI()*((U97/2-T97)^2)))*'MKI-waarden'!$D$100</f>
        <v>0.26586805228984217</v>
      </c>
      <c r="N97" s="342">
        <f t="shared" si="55"/>
        <v>7.5962300654240618E-3</v>
      </c>
      <c r="O97" s="342">
        <f t="shared" si="87"/>
        <v>7.5962300654240618E-3</v>
      </c>
      <c r="P97" s="203">
        <v>35</v>
      </c>
      <c r="Q97" s="203">
        <f>'Invoer en resultaat'!$H$9</f>
        <v>100</v>
      </c>
      <c r="R97" s="203">
        <f t="shared" si="56"/>
        <v>65</v>
      </c>
      <c r="S97" s="357">
        <f t="shared" si="88"/>
        <v>2</v>
      </c>
      <c r="T97" s="354">
        <v>3.0000000000000001E-3</v>
      </c>
      <c r="U97" s="190">
        <v>0.1</v>
      </c>
      <c r="V97" s="140"/>
      <c r="W97" s="140" t="s">
        <v>270</v>
      </c>
      <c r="X97" s="227"/>
      <c r="Y97" s="140" t="str">
        <f>'MKI-waarden'!$A$100</f>
        <v>Reflectorpalen PVC</v>
      </c>
    </row>
    <row r="98" spans="1:25" s="205" customFormat="1" ht="14.25" customHeight="1" x14ac:dyDescent="0.2">
      <c r="A98" s="196">
        <f t="shared" si="65"/>
        <v>4</v>
      </c>
      <c r="B98" s="222" t="s">
        <v>55</v>
      </c>
      <c r="C98" s="198">
        <f t="shared" si="39"/>
        <v>4</v>
      </c>
      <c r="D98" s="199">
        <f t="shared" si="40"/>
        <v>15</v>
      </c>
      <c r="E98" s="205" t="s">
        <v>79</v>
      </c>
      <c r="F98" s="200">
        <f t="shared" si="41"/>
        <v>15</v>
      </c>
      <c r="G98" s="201"/>
      <c r="H98" s="205" t="s">
        <v>135</v>
      </c>
      <c r="I98" s="321">
        <v>94</v>
      </c>
      <c r="J98" s="221" t="s">
        <v>50</v>
      </c>
      <c r="K98" s="292">
        <f t="shared" si="86"/>
        <v>0.79111637177161953</v>
      </c>
      <c r="L98" s="331">
        <f>IF(K98&gt;-1,1-(O98/AVERAGE($O$96:$O$105)),1-(O98/AVERAGE($N$96:$N$105)))</f>
        <v>0.73780253757183334</v>
      </c>
      <c r="M98" s="342">
        <f>((PI()*((U98/2)^2))-(PI()*((U98/2-T98)^2)))*'MKI-waarden'!D101</f>
        <v>0.62632446088096139</v>
      </c>
      <c r="N98" s="342">
        <f t="shared" si="55"/>
        <v>8.350992811746151E-3</v>
      </c>
      <c r="O98" s="342">
        <f t="shared" si="87"/>
        <v>8.350992811746151E-3</v>
      </c>
      <c r="P98" s="203">
        <v>75</v>
      </c>
      <c r="Q98" s="203">
        <f>'Invoer en resultaat'!$H$9</f>
        <v>100</v>
      </c>
      <c r="R98" s="203">
        <f t="shared" si="56"/>
        <v>25</v>
      </c>
      <c r="S98" s="357">
        <f t="shared" si="88"/>
        <v>1</v>
      </c>
      <c r="T98" s="354">
        <v>0.01</v>
      </c>
      <c r="U98" s="190">
        <v>0.1</v>
      </c>
      <c r="W98" s="140" t="s">
        <v>270</v>
      </c>
      <c r="X98" s="184"/>
      <c r="Y98" s="140" t="str">
        <f>'MKI-waarden'!$A$101</f>
        <v>Reflectorpalen PE</v>
      </c>
    </row>
    <row r="99" spans="1:25" s="205" customFormat="1" ht="14.25" customHeight="1" x14ac:dyDescent="0.2">
      <c r="A99" s="196">
        <f t="shared" si="65"/>
        <v>4</v>
      </c>
      <c r="B99" s="222" t="s">
        <v>55</v>
      </c>
      <c r="C99" s="198">
        <f t="shared" si="39"/>
        <v>4</v>
      </c>
      <c r="D99" s="199">
        <f t="shared" si="40"/>
        <v>15</v>
      </c>
      <c r="E99" s="205" t="s">
        <v>79</v>
      </c>
      <c r="F99" s="200">
        <f t="shared" si="41"/>
        <v>15</v>
      </c>
      <c r="G99" s="201"/>
      <c r="H99" s="205" t="s">
        <v>660</v>
      </c>
      <c r="I99" s="321">
        <v>95</v>
      </c>
      <c r="J99" s="221" t="s">
        <v>50</v>
      </c>
      <c r="K99" s="292">
        <f t="shared" si="86"/>
        <v>0.83840634303338424</v>
      </c>
      <c r="L99" s="331">
        <f>1-(O99/AVERAGE($N$241:$N$250))</f>
        <v>0.83840634303338424</v>
      </c>
      <c r="M99" s="342">
        <f>'MKI-waarden'!$D$38/'MKI-waarden'!$D$126*Database!M100</f>
        <v>0.48452844744127932</v>
      </c>
      <c r="N99" s="342">
        <f t="shared" si="55"/>
        <v>6.4603792992170578E-3</v>
      </c>
      <c r="O99" s="342">
        <f t="shared" si="87"/>
        <v>6.4603792992170578E-3</v>
      </c>
      <c r="P99" s="203">
        <v>75</v>
      </c>
      <c r="Q99" s="203">
        <f>'Invoer en resultaat'!$H$9</f>
        <v>100</v>
      </c>
      <c r="R99" s="203">
        <f t="shared" si="56"/>
        <v>25</v>
      </c>
      <c r="S99" s="357">
        <f t="shared" si="88"/>
        <v>1</v>
      </c>
      <c r="T99" s="354">
        <v>5.0000000000000001E-3</v>
      </c>
      <c r="U99" s="190">
        <v>0.1</v>
      </c>
      <c r="W99" s="140" t="s">
        <v>270</v>
      </c>
      <c r="X99" s="184"/>
      <c r="Y99" s="140" t="s">
        <v>662</v>
      </c>
    </row>
    <row r="100" spans="1:25" s="205" customFormat="1" ht="14.25" customHeight="1" x14ac:dyDescent="0.2">
      <c r="A100" s="196">
        <f t="shared" ref="A100" si="89">C100</f>
        <v>4</v>
      </c>
      <c r="B100" s="222" t="s">
        <v>55</v>
      </c>
      <c r="C100" s="198">
        <f t="shared" ref="C100" si="90">IF(B100=B99,C99,C99+1)</f>
        <v>4</v>
      </c>
      <c r="D100" s="199">
        <f t="shared" ref="D100" si="91">F100</f>
        <v>15</v>
      </c>
      <c r="E100" s="205" t="s">
        <v>79</v>
      </c>
      <c r="F100" s="200">
        <f t="shared" ref="F100" si="92">IF(E100=E99,F99,F99+1)</f>
        <v>15</v>
      </c>
      <c r="G100" s="201"/>
      <c r="H100" s="205" t="s">
        <v>658</v>
      </c>
      <c r="I100" s="321">
        <v>96</v>
      </c>
      <c r="J100" s="221" t="s">
        <v>50</v>
      </c>
      <c r="K100" s="292">
        <f t="shared" si="86"/>
        <v>0.8625461919888211</v>
      </c>
      <c r="L100" s="331">
        <f>1-(O100/AVERAGE($N$241:$N$250))</f>
        <v>0.8625461919888211</v>
      </c>
      <c r="M100" s="342">
        <f>((PI()*((U100/2)^2))-(PI()*((U100/2-T100)^2)))*'MKI-waarden'!$D$128</f>
        <v>0.41214662407391028</v>
      </c>
      <c r="N100" s="342">
        <f t="shared" si="55"/>
        <v>5.4952883209854701E-3</v>
      </c>
      <c r="O100" s="342">
        <f t="shared" si="87"/>
        <v>5.4952883209854701E-3</v>
      </c>
      <c r="P100" s="203">
        <v>75</v>
      </c>
      <c r="Q100" s="203">
        <f>'Invoer en resultaat'!$H$9</f>
        <v>100</v>
      </c>
      <c r="R100" s="203">
        <f t="shared" si="56"/>
        <v>25</v>
      </c>
      <c r="S100" s="357">
        <f t="shared" si="88"/>
        <v>1</v>
      </c>
      <c r="T100" s="354">
        <v>5.0000000000000001E-3</v>
      </c>
      <c r="U100" s="190">
        <v>0.1</v>
      </c>
      <c r="W100" s="140" t="s">
        <v>270</v>
      </c>
      <c r="X100" s="184"/>
      <c r="Y100" s="140" t="str">
        <f>'MKI-waarden'!$A$128</f>
        <v>GVK, glasvezels in polyester, biobased hars</v>
      </c>
    </row>
    <row r="101" spans="1:25" s="205" customFormat="1" ht="14.25" customHeight="1" x14ac:dyDescent="0.2">
      <c r="A101" s="196">
        <f t="shared" si="65"/>
        <v>4</v>
      </c>
      <c r="B101" s="222" t="s">
        <v>55</v>
      </c>
      <c r="C101" s="198">
        <f>IF(B101=B99,C99,C99+1)</f>
        <v>4</v>
      </c>
      <c r="D101" s="199">
        <f t="shared" si="40"/>
        <v>15</v>
      </c>
      <c r="E101" s="205" t="s">
        <v>79</v>
      </c>
      <c r="F101" s="200">
        <f>IF(E101=E99,F99,F99+1)</f>
        <v>15</v>
      </c>
      <c r="G101" s="201"/>
      <c r="H101" s="205" t="s">
        <v>77</v>
      </c>
      <c r="I101" s="321">
        <v>97</v>
      </c>
      <c r="J101" s="221" t="s">
        <v>50</v>
      </c>
      <c r="K101" s="292">
        <f t="shared" si="86"/>
        <v>0.37810939583626191</v>
      </c>
      <c r="L101" s="331">
        <f>IF(K101&gt;-1,1-(O101/AVERAGE($O$96:$O$105)),1-(O101/AVERAGE($N$96:$N$105)))</f>
        <v>0.21938287024881709</v>
      </c>
      <c r="M101" s="342">
        <f>U101/'MKI-waarden'!N73*'MKI-waarden'!D73</f>
        <v>2.4862666400000002</v>
      </c>
      <c r="N101" s="342">
        <f t="shared" si="55"/>
        <v>2.48626664E-2</v>
      </c>
      <c r="O101" s="342">
        <f t="shared" si="87"/>
        <v>2.48626664E-2</v>
      </c>
      <c r="P101" s="203">
        <v>100</v>
      </c>
      <c r="Q101" s="203">
        <f>'Invoer en resultaat'!$H$9</f>
        <v>100</v>
      </c>
      <c r="R101" s="203">
        <f t="shared" si="56"/>
        <v>0</v>
      </c>
      <c r="S101" s="357">
        <f t="shared" si="88"/>
        <v>0</v>
      </c>
      <c r="T101" s="354">
        <v>0.02</v>
      </c>
      <c r="U101" s="190">
        <v>0.1</v>
      </c>
      <c r="V101" s="140"/>
      <c r="W101" s="140" t="s">
        <v>270</v>
      </c>
      <c r="X101" s="140"/>
      <c r="Y101" s="140" t="str">
        <f>'MKI-waarden'!$A$73</f>
        <v>Keramiek leidingen, gresbuis klein</v>
      </c>
    </row>
    <row r="102" spans="1:25" s="205" customFormat="1" ht="14.25" customHeight="1" x14ac:dyDescent="0.2">
      <c r="A102" s="196">
        <f t="shared" si="65"/>
        <v>4</v>
      </c>
      <c r="B102" s="222" t="s">
        <v>55</v>
      </c>
      <c r="C102" s="198">
        <f t="shared" si="39"/>
        <v>4</v>
      </c>
      <c r="D102" s="199">
        <f t="shared" si="40"/>
        <v>15</v>
      </c>
      <c r="E102" s="205" t="s">
        <v>79</v>
      </c>
      <c r="F102" s="200">
        <f t="shared" si="41"/>
        <v>15</v>
      </c>
      <c r="G102" s="201"/>
      <c r="H102" s="205" t="s">
        <v>32</v>
      </c>
      <c r="I102" s="321">
        <v>98</v>
      </c>
      <c r="J102" s="221" t="s">
        <v>50</v>
      </c>
      <c r="K102" s="292">
        <f t="shared" si="86"/>
        <v>-0.61674153877704763</v>
      </c>
      <c r="L102" s="331">
        <f>1-(O102/AVERAGE($N$241:$N$250))</f>
        <v>-0.61674153877704763</v>
      </c>
      <c r="M102" s="342">
        <f>U102/'MKI-waarden'!N53*'MKI-waarden'!D53</f>
        <v>6.4635974984200004</v>
      </c>
      <c r="N102" s="342">
        <f t="shared" si="55"/>
        <v>6.4635974984199998E-2</v>
      </c>
      <c r="O102" s="342">
        <f t="shared" si="87"/>
        <v>6.4635974984199998E-2</v>
      </c>
      <c r="P102" s="203">
        <v>100</v>
      </c>
      <c r="Q102" s="203">
        <f>'Invoer en resultaat'!$H$9</f>
        <v>100</v>
      </c>
      <c r="R102" s="203">
        <f t="shared" si="56"/>
        <v>0</v>
      </c>
      <c r="S102" s="357">
        <f t="shared" si="88"/>
        <v>0</v>
      </c>
      <c r="T102" s="354">
        <v>0.01</v>
      </c>
      <c r="U102" s="190">
        <v>0.1</v>
      </c>
      <c r="V102" s="140"/>
      <c r="W102" s="140" t="s">
        <v>270</v>
      </c>
      <c r="X102" s="140" t="s">
        <v>267</v>
      </c>
      <c r="Y102" s="140" t="str">
        <f>'MKI-waarden'!$A$63</f>
        <v>Gietijzer (obv gasleiding)</v>
      </c>
    </row>
    <row r="103" spans="1:25" s="205" customFormat="1" ht="14.25" customHeight="1" x14ac:dyDescent="0.2">
      <c r="A103" s="196">
        <f t="shared" si="65"/>
        <v>4</v>
      </c>
      <c r="B103" s="222" t="s">
        <v>55</v>
      </c>
      <c r="C103" s="198">
        <f t="shared" si="39"/>
        <v>4</v>
      </c>
      <c r="D103" s="199">
        <f t="shared" si="40"/>
        <v>15</v>
      </c>
      <c r="E103" s="205" t="s">
        <v>79</v>
      </c>
      <c r="F103" s="200">
        <f t="shared" si="41"/>
        <v>15</v>
      </c>
      <c r="G103" s="201"/>
      <c r="H103" s="205" t="s">
        <v>4</v>
      </c>
      <c r="I103" s="321">
        <v>99</v>
      </c>
      <c r="J103" s="221" t="s">
        <v>50</v>
      </c>
      <c r="K103" s="292">
        <f t="shared" si="86"/>
        <v>-8.7691151560397529E-2</v>
      </c>
      <c r="L103" s="331">
        <f>IF(K103&gt;-1,1-(O103/AVERAGE($O$96:$O$105)),1-(O103/AVERAGE($N$96:$N$105)))</f>
        <v>-0.36530498949825585</v>
      </c>
      <c r="M103" s="342">
        <f>((PI()*((U103/2)^2))-(PI()*((U103/2-T103)^2)))*'MKI-waarden'!$D$27</f>
        <v>1.7393993134109393</v>
      </c>
      <c r="N103" s="342">
        <f t="shared" si="55"/>
        <v>4.3484982835273481E-2</v>
      </c>
      <c r="O103" s="342">
        <f t="shared" si="87"/>
        <v>4.3484982835273481E-2</v>
      </c>
      <c r="P103" s="203">
        <v>40</v>
      </c>
      <c r="Q103" s="203">
        <f>'Invoer en resultaat'!$H$9</f>
        <v>100</v>
      </c>
      <c r="R103" s="203">
        <f t="shared" si="56"/>
        <v>60</v>
      </c>
      <c r="S103" s="357">
        <f t="shared" si="88"/>
        <v>2</v>
      </c>
      <c r="T103" s="354">
        <v>5.0000000000000001E-3</v>
      </c>
      <c r="U103" s="190">
        <v>0.1</v>
      </c>
      <c r="V103" s="140"/>
      <c r="W103" s="140" t="s">
        <v>270</v>
      </c>
      <c r="X103" s="227"/>
      <c r="Y103" s="140" t="str">
        <f>'MKI-waarden'!$A$27</f>
        <v>Constructies in kg of m3, wapeningstaal</v>
      </c>
    </row>
    <row r="104" spans="1:25" s="205" customFormat="1" ht="14.25" customHeight="1" x14ac:dyDescent="0.2">
      <c r="A104" s="196">
        <f t="shared" si="65"/>
        <v>4</v>
      </c>
      <c r="B104" s="222" t="s">
        <v>55</v>
      </c>
      <c r="C104" s="198">
        <f t="shared" si="39"/>
        <v>4</v>
      </c>
      <c r="D104" s="199">
        <f t="shared" si="40"/>
        <v>15</v>
      </c>
      <c r="E104" s="205" t="s">
        <v>79</v>
      </c>
      <c r="F104" s="200">
        <f t="shared" si="41"/>
        <v>15</v>
      </c>
      <c r="G104" s="201"/>
      <c r="H104" s="205" t="s">
        <v>117</v>
      </c>
      <c r="I104" s="321">
        <v>100</v>
      </c>
      <c r="J104" s="221" t="s">
        <v>50</v>
      </c>
      <c r="K104" s="292">
        <f t="shared" si="86"/>
        <v>-3.0333466886390008</v>
      </c>
      <c r="L104" s="331">
        <f>IF(K104&gt;-1,1-(O104/AVERAGE($O$96:$O$105)),1-(O104/AVERAGE($N$96:$N$105)))</f>
        <v>-1</v>
      </c>
      <c r="M104" s="342">
        <f>((PI()*((U104/2)^2))-(PI()*((U104/2-T104)^2)))*'MKI-waarden'!D56</f>
        <v>9.6749897030545995</v>
      </c>
      <c r="N104" s="342">
        <f t="shared" si="55"/>
        <v>0.16124982838424332</v>
      </c>
      <c r="O104" s="342">
        <f t="shared" si="87"/>
        <v>7.9958327826589543E-2</v>
      </c>
      <c r="P104" s="203">
        <v>60</v>
      </c>
      <c r="Q104" s="203">
        <f>'Invoer en resultaat'!$H$9</f>
        <v>100</v>
      </c>
      <c r="R104" s="203">
        <f t="shared" si="56"/>
        <v>40</v>
      </c>
      <c r="S104" s="357">
        <f t="shared" si="88"/>
        <v>1</v>
      </c>
      <c r="T104" s="354">
        <v>5.0000000000000001E-3</v>
      </c>
      <c r="U104" s="190">
        <v>0.1</v>
      </c>
      <c r="V104" s="140"/>
      <c r="W104" s="140" t="s">
        <v>270</v>
      </c>
      <c r="X104" s="227"/>
      <c r="Y104" s="140" t="str">
        <f>'MKI-waarden'!$A$56</f>
        <v>Hemelwaterafvoer, koper, d = 80 mm, wd = 0,65 mm</v>
      </c>
    </row>
    <row r="105" spans="1:25" s="220" customFormat="1" ht="14.25" customHeight="1" x14ac:dyDescent="0.2">
      <c r="A105" s="208">
        <f t="shared" si="65"/>
        <v>4</v>
      </c>
      <c r="B105" s="252" t="s">
        <v>55</v>
      </c>
      <c r="C105" s="210">
        <f t="shared" si="39"/>
        <v>4</v>
      </c>
      <c r="D105" s="211">
        <f t="shared" si="40"/>
        <v>15</v>
      </c>
      <c r="E105" s="220" t="s">
        <v>79</v>
      </c>
      <c r="F105" s="213">
        <f t="shared" si="41"/>
        <v>15</v>
      </c>
      <c r="G105" s="214"/>
      <c r="H105" s="220" t="s">
        <v>1</v>
      </c>
      <c r="I105" s="321">
        <v>101</v>
      </c>
      <c r="J105" s="228" t="s">
        <v>50</v>
      </c>
      <c r="K105" s="296">
        <f t="shared" si="86"/>
        <v>0.88986051466321292</v>
      </c>
      <c r="L105" s="332">
        <f>IF(K105&gt;-1,1-(O105/AVERAGE($O$96:$O$105)),1-(O105/AVERAGE($N$96:$N$105)))</f>
        <v>0.86174936823255432</v>
      </c>
      <c r="M105" s="345">
        <f>((PI()*((U105/2)^2))-(PI()*((U105/2-T105)^2)))*'MKI-waarden'!$D$20</f>
        <v>0.33024634032040029</v>
      </c>
      <c r="N105" s="345">
        <f t="shared" si="55"/>
        <v>4.4032845376053373E-3</v>
      </c>
      <c r="O105" s="345">
        <f t="shared" si="87"/>
        <v>4.4032845376053373E-3</v>
      </c>
      <c r="P105" s="216">
        <v>75</v>
      </c>
      <c r="Q105" s="216">
        <f>'Invoer en resultaat'!$H$9</f>
        <v>100</v>
      </c>
      <c r="R105" s="216">
        <f t="shared" si="56"/>
        <v>25</v>
      </c>
      <c r="S105" s="358">
        <f t="shared" si="88"/>
        <v>1</v>
      </c>
      <c r="T105" s="359">
        <v>0.05</v>
      </c>
      <c r="U105" s="217">
        <v>0.1</v>
      </c>
      <c r="V105" s="229"/>
      <c r="W105" s="229" t="s">
        <v>270</v>
      </c>
      <c r="X105" s="230"/>
      <c r="Y105" s="229" t="str">
        <f>'MKI-waarden'!$A$20</f>
        <v>Betonmortel C20/25 (CEM I)</v>
      </c>
    </row>
    <row r="106" spans="1:25" s="205" customFormat="1" ht="14.25" customHeight="1" x14ac:dyDescent="0.2">
      <c r="A106" s="196">
        <f t="shared" si="65"/>
        <v>4</v>
      </c>
      <c r="B106" s="197" t="s">
        <v>55</v>
      </c>
      <c r="C106" s="198">
        <f t="shared" si="39"/>
        <v>4</v>
      </c>
      <c r="D106" s="199">
        <f t="shared" si="40"/>
        <v>16</v>
      </c>
      <c r="E106" s="175" t="s">
        <v>71</v>
      </c>
      <c r="F106" s="200">
        <f t="shared" si="41"/>
        <v>16</v>
      </c>
      <c r="G106" s="201"/>
      <c r="H106" s="205" t="s">
        <v>4</v>
      </c>
      <c r="I106" s="321">
        <v>102</v>
      </c>
      <c r="J106" s="202" t="s">
        <v>165</v>
      </c>
      <c r="K106" s="292">
        <f>1-(N106/AVERAGE($N$106:$N$107))</f>
        <v>0.44062715808312636</v>
      </c>
      <c r="L106" s="331">
        <f>IF(K106&gt;-1,1-(O106/AVERAGE($O$106:$O$107)),1-(O106/AVERAGE($N$106:$N$107)))</f>
        <v>0.44062715808312636</v>
      </c>
      <c r="M106" s="342">
        <f>'MKI-waarden'!D114</f>
        <v>12.136989999999999</v>
      </c>
      <c r="N106" s="342">
        <f t="shared" si="55"/>
        <v>0.60684949999999993</v>
      </c>
      <c r="O106" s="342">
        <f>IF(K106&lt;-1,(2*AVERAGE($N$106:$N$107)),N106)</f>
        <v>0.60684949999999993</v>
      </c>
      <c r="P106" s="203">
        <v>20</v>
      </c>
      <c r="Q106" s="203">
        <f>'Invoer en resultaat'!$H$9</f>
        <v>100</v>
      </c>
      <c r="R106" s="203">
        <f t="shared" si="56"/>
        <v>80</v>
      </c>
      <c r="S106" s="357">
        <f t="shared" si="88"/>
        <v>4</v>
      </c>
      <c r="T106" s="354">
        <v>7.0000000000000001E-3</v>
      </c>
      <c r="U106" s="190">
        <v>0</v>
      </c>
      <c r="W106" s="140" t="s">
        <v>166</v>
      </c>
      <c r="X106" s="140"/>
      <c r="Y106" s="140" t="str">
        <f>'MKI-waarden'!$A$114</f>
        <v xml:space="preserve">Rooster Staal </v>
      </c>
    </row>
    <row r="107" spans="1:25" s="220" customFormat="1" ht="14.25" customHeight="1" x14ac:dyDescent="0.2">
      <c r="A107" s="208">
        <f t="shared" si="65"/>
        <v>4</v>
      </c>
      <c r="B107" s="209" t="s">
        <v>55</v>
      </c>
      <c r="C107" s="210">
        <f t="shared" si="39"/>
        <v>4</v>
      </c>
      <c r="D107" s="211">
        <f t="shared" si="40"/>
        <v>16</v>
      </c>
      <c r="E107" s="212" t="s">
        <v>71</v>
      </c>
      <c r="F107" s="213">
        <f t="shared" si="41"/>
        <v>16</v>
      </c>
      <c r="G107" s="214"/>
      <c r="H107" s="220" t="s">
        <v>28</v>
      </c>
      <c r="I107" s="321">
        <v>103</v>
      </c>
      <c r="J107" s="215" t="s">
        <v>165</v>
      </c>
      <c r="K107" s="296">
        <f>1-(N107/AVERAGE($N$106:$N$107))</f>
        <v>-0.44062715808312647</v>
      </c>
      <c r="L107" s="331">
        <f>IF(K107&gt;-1,1-(O107/AVERAGE($O$106:$O$107)),1-(O107/AVERAGE($N$106:$N$107)))</f>
        <v>-0.44062715808312647</v>
      </c>
      <c r="M107" s="345">
        <f>'MKI-waarden'!D113</f>
        <v>78.145005000000026</v>
      </c>
      <c r="N107" s="345">
        <f t="shared" si="55"/>
        <v>1.5629001000000005</v>
      </c>
      <c r="O107" s="345">
        <f>IF(K107&lt;-1,(2*AVERAGE($N$106:$N$107)),N107)</f>
        <v>1.5629001000000005</v>
      </c>
      <c r="P107" s="216">
        <v>50</v>
      </c>
      <c r="Q107" s="203">
        <f>'Invoer en resultaat'!$H$9</f>
        <v>100</v>
      </c>
      <c r="R107" s="203">
        <f t="shared" si="56"/>
        <v>50</v>
      </c>
      <c r="S107" s="358">
        <f t="shared" si="88"/>
        <v>1</v>
      </c>
      <c r="T107" s="359">
        <v>7.0000000000000001E-3</v>
      </c>
      <c r="U107" s="217">
        <v>0</v>
      </c>
      <c r="W107" s="229" t="s">
        <v>166</v>
      </c>
      <c r="X107" s="229"/>
      <c r="Y107" s="229" t="str">
        <f>'MKI-waarden'!$A$113</f>
        <v xml:space="preserve">Rooster RVS </v>
      </c>
    </row>
    <row r="108" spans="1:25" s="205" customFormat="1" ht="14.25" customHeight="1" x14ac:dyDescent="0.2">
      <c r="A108" s="196">
        <f t="shared" si="65"/>
        <v>4</v>
      </c>
      <c r="B108" s="197" t="s">
        <v>55</v>
      </c>
      <c r="C108" s="198">
        <f t="shared" si="39"/>
        <v>4</v>
      </c>
      <c r="D108" s="199">
        <f t="shared" si="40"/>
        <v>17</v>
      </c>
      <c r="E108" s="175" t="s">
        <v>72</v>
      </c>
      <c r="F108" s="200">
        <f t="shared" si="41"/>
        <v>17</v>
      </c>
      <c r="G108" s="201"/>
      <c r="H108" s="205" t="s">
        <v>660</v>
      </c>
      <c r="I108" s="321">
        <v>104</v>
      </c>
      <c r="J108" s="202" t="s">
        <v>49</v>
      </c>
      <c r="K108" s="292">
        <f t="shared" ref="K108:M108" si="93">K304</f>
        <v>0.42182955580685466</v>
      </c>
      <c r="L108" s="331">
        <f t="shared" si="93"/>
        <v>0.42182955580685466</v>
      </c>
      <c r="M108" s="342">
        <f t="shared" si="93"/>
        <v>25.899532999999998</v>
      </c>
      <c r="N108" s="342">
        <f t="shared" si="55"/>
        <v>0.51799065999999994</v>
      </c>
      <c r="O108" s="342">
        <f t="shared" ref="O108:P108" si="94">O304</f>
        <v>0.51799065999999994</v>
      </c>
      <c r="P108" s="203">
        <f t="shared" si="94"/>
        <v>50</v>
      </c>
      <c r="Q108" s="203">
        <f>'Invoer en resultaat'!$H$9</f>
        <v>100</v>
      </c>
      <c r="R108" s="203">
        <f t="shared" si="56"/>
        <v>50</v>
      </c>
      <c r="S108" s="357">
        <f t="shared" ref="S108:U108" si="95">S304</f>
        <v>1</v>
      </c>
      <c r="T108" s="354">
        <f t="shared" si="95"/>
        <v>5.0000000000000001E-3</v>
      </c>
      <c r="U108" s="190">
        <f t="shared" si="95"/>
        <v>0</v>
      </c>
      <c r="W108" s="140" t="s">
        <v>147</v>
      </c>
      <c r="X108" s="140"/>
      <c r="Y108" s="140" t="str">
        <f>Y304</f>
        <v>Rooster Kunststof GVK</v>
      </c>
    </row>
    <row r="109" spans="1:25" s="205" customFormat="1" ht="14.25" customHeight="1" x14ac:dyDescent="0.2">
      <c r="A109" s="196">
        <f t="shared" si="65"/>
        <v>4</v>
      </c>
      <c r="B109" s="197" t="s">
        <v>55</v>
      </c>
      <c r="C109" s="198">
        <f t="shared" si="39"/>
        <v>4</v>
      </c>
      <c r="D109" s="199">
        <f t="shared" si="40"/>
        <v>17</v>
      </c>
      <c r="E109" s="175" t="s">
        <v>72</v>
      </c>
      <c r="F109" s="200">
        <f t="shared" si="41"/>
        <v>17</v>
      </c>
      <c r="G109" s="201"/>
      <c r="H109" s="205" t="s">
        <v>4</v>
      </c>
      <c r="I109" s="321">
        <v>105</v>
      </c>
      <c r="J109" s="202" t="s">
        <v>49</v>
      </c>
      <c r="K109" s="292">
        <f t="shared" ref="K109:M110" si="96">K305</f>
        <v>0.32264715936501998</v>
      </c>
      <c r="L109" s="331">
        <f t="shared" si="96"/>
        <v>0.32264715936501998</v>
      </c>
      <c r="M109" s="342">
        <f t="shared" si="96"/>
        <v>12.136989999999999</v>
      </c>
      <c r="N109" s="342">
        <f t="shared" si="55"/>
        <v>0.60684949999999993</v>
      </c>
      <c r="O109" s="342">
        <f>O305</f>
        <v>0.60684949999999993</v>
      </c>
      <c r="P109" s="203">
        <f>P305</f>
        <v>20</v>
      </c>
      <c r="Q109" s="203">
        <f>'Invoer en resultaat'!$H$9</f>
        <v>100</v>
      </c>
      <c r="R109" s="203">
        <f t="shared" si="56"/>
        <v>80</v>
      </c>
      <c r="S109" s="357">
        <f t="shared" ref="S109:U110" si="97">S305</f>
        <v>4</v>
      </c>
      <c r="T109" s="354">
        <f t="shared" si="97"/>
        <v>5.0000000000000001E-3</v>
      </c>
      <c r="U109" s="190">
        <f t="shared" si="97"/>
        <v>0</v>
      </c>
      <c r="W109" s="140" t="s">
        <v>147</v>
      </c>
      <c r="X109" s="140"/>
      <c r="Y109" s="140" t="str">
        <f>Y305</f>
        <v xml:space="preserve">Rooster Staal </v>
      </c>
    </row>
    <row r="110" spans="1:25" s="220" customFormat="1" ht="14.25" customHeight="1" x14ac:dyDescent="0.2">
      <c r="A110" s="208">
        <f t="shared" si="65"/>
        <v>4</v>
      </c>
      <c r="B110" s="209" t="s">
        <v>55</v>
      </c>
      <c r="C110" s="210">
        <f t="shared" si="39"/>
        <v>4</v>
      </c>
      <c r="D110" s="211">
        <f t="shared" si="40"/>
        <v>17</v>
      </c>
      <c r="E110" s="212" t="s">
        <v>72</v>
      </c>
      <c r="F110" s="213">
        <f t="shared" si="41"/>
        <v>17</v>
      </c>
      <c r="G110" s="214"/>
      <c r="H110" s="220" t="s">
        <v>28</v>
      </c>
      <c r="I110" s="321">
        <v>106</v>
      </c>
      <c r="J110" s="215" t="s">
        <v>49</v>
      </c>
      <c r="K110" s="296">
        <f t="shared" si="96"/>
        <v>-0.74447671517187519</v>
      </c>
      <c r="L110" s="331">
        <f t="shared" si="96"/>
        <v>-0.74447671517187519</v>
      </c>
      <c r="M110" s="345">
        <f t="shared" si="96"/>
        <v>78.145005000000026</v>
      </c>
      <c r="N110" s="345">
        <f t="shared" si="55"/>
        <v>1.5629001000000005</v>
      </c>
      <c r="O110" s="345">
        <f>O306</f>
        <v>1.5629001000000005</v>
      </c>
      <c r="P110" s="216">
        <f>P306</f>
        <v>50</v>
      </c>
      <c r="Q110" s="203">
        <f>'Invoer en resultaat'!$H$9</f>
        <v>100</v>
      </c>
      <c r="R110" s="203">
        <f t="shared" si="56"/>
        <v>50</v>
      </c>
      <c r="S110" s="358">
        <f t="shared" si="97"/>
        <v>1</v>
      </c>
      <c r="T110" s="359">
        <f t="shared" si="97"/>
        <v>5.0000000000000001E-3</v>
      </c>
      <c r="U110" s="217">
        <f t="shared" si="97"/>
        <v>0</v>
      </c>
      <c r="W110" s="229" t="s">
        <v>147</v>
      </c>
      <c r="X110" s="229"/>
      <c r="Y110" s="229" t="str">
        <f>Y306</f>
        <v xml:space="preserve">Rooster RVS </v>
      </c>
    </row>
    <row r="111" spans="1:25" s="205" customFormat="1" ht="14.25" customHeight="1" x14ac:dyDescent="0.2">
      <c r="A111" s="196">
        <f t="shared" si="65"/>
        <v>4</v>
      </c>
      <c r="B111" s="197" t="s">
        <v>55</v>
      </c>
      <c r="C111" s="198">
        <f t="shared" ref="C111:C120" si="98">IF(B111=B110,C110,C110+1)</f>
        <v>4</v>
      </c>
      <c r="D111" s="199">
        <f t="shared" ref="D111:D112" si="99">F111</f>
        <v>18</v>
      </c>
      <c r="E111" s="231" t="s">
        <v>68</v>
      </c>
      <c r="F111" s="200">
        <f t="shared" ref="F111:F112" si="100">IF(E111=E110,F110,F110+1)</f>
        <v>18</v>
      </c>
      <c r="G111" s="201"/>
      <c r="H111" s="231" t="s">
        <v>13</v>
      </c>
      <c r="I111" s="321">
        <v>107</v>
      </c>
      <c r="J111" s="202" t="s">
        <v>50</v>
      </c>
      <c r="K111" s="292">
        <f t="shared" ref="K111:M113" si="101">K69</f>
        <v>0.99019505219053094</v>
      </c>
      <c r="L111" s="331">
        <f t="shared" si="101"/>
        <v>0.98646001448450704</v>
      </c>
      <c r="M111" s="342">
        <f t="shared" si="101"/>
        <v>0.62954898784061475</v>
      </c>
      <c r="N111" s="342">
        <f t="shared" si="55"/>
        <v>8.3939865045415292E-3</v>
      </c>
      <c r="O111" s="342">
        <f t="shared" ref="O111:P113" si="102">O69</f>
        <v>8.3939865045415292E-3</v>
      </c>
      <c r="P111" s="203">
        <f t="shared" si="102"/>
        <v>75</v>
      </c>
      <c r="Q111" s="203">
        <f>'Invoer en resultaat'!$H$9</f>
        <v>100</v>
      </c>
      <c r="R111" s="203">
        <f t="shared" si="56"/>
        <v>25</v>
      </c>
      <c r="S111" s="357">
        <f t="shared" ref="S111:U113" si="103">S69</f>
        <v>1</v>
      </c>
      <c r="T111" s="354">
        <f t="shared" si="103"/>
        <v>3.0000000000000001E-3</v>
      </c>
      <c r="U111" s="190">
        <f t="shared" si="103"/>
        <v>0.1</v>
      </c>
      <c r="V111" s="205" t="s">
        <v>664</v>
      </c>
      <c r="W111" s="140" t="s">
        <v>561</v>
      </c>
      <c r="X111" s="140"/>
      <c r="Y111" s="140" t="str">
        <f>Y69</f>
        <v>Leuning, Europees naaldhout, duurzame bosbouw</v>
      </c>
    </row>
    <row r="112" spans="1:25" s="205" customFormat="1" ht="14.25" customHeight="1" x14ac:dyDescent="0.2">
      <c r="A112" s="196">
        <f t="shared" si="65"/>
        <v>4</v>
      </c>
      <c r="B112" s="197" t="s">
        <v>55</v>
      </c>
      <c r="C112" s="198">
        <f t="shared" si="98"/>
        <v>4</v>
      </c>
      <c r="D112" s="199">
        <f t="shared" si="99"/>
        <v>18</v>
      </c>
      <c r="E112" s="231" t="s">
        <v>68</v>
      </c>
      <c r="F112" s="200">
        <f t="shared" si="100"/>
        <v>18</v>
      </c>
      <c r="G112" s="201"/>
      <c r="H112" s="231" t="s">
        <v>4</v>
      </c>
      <c r="I112" s="321">
        <v>108</v>
      </c>
      <c r="J112" s="202" t="s">
        <v>50</v>
      </c>
      <c r="K112" s="292">
        <f t="shared" si="101"/>
        <v>0.83736219336562401</v>
      </c>
      <c r="L112" s="331">
        <f t="shared" si="101"/>
        <v>0.77540792782453039</v>
      </c>
      <c r="M112" s="342">
        <f t="shared" si="101"/>
        <v>10.4425305</v>
      </c>
      <c r="N112" s="342">
        <f t="shared" si="55"/>
        <v>0.13923373999999999</v>
      </c>
      <c r="O112" s="342">
        <f t="shared" si="102"/>
        <v>0.13923373999999999</v>
      </c>
      <c r="P112" s="203">
        <f t="shared" si="102"/>
        <v>75</v>
      </c>
      <c r="Q112" s="203">
        <f>'Invoer en resultaat'!$H$9</f>
        <v>100</v>
      </c>
      <c r="R112" s="203">
        <f t="shared" si="56"/>
        <v>25</v>
      </c>
      <c r="S112" s="357">
        <f t="shared" si="103"/>
        <v>1</v>
      </c>
      <c r="T112" s="354">
        <f t="shared" si="103"/>
        <v>3.0000000000000001E-3</v>
      </c>
      <c r="U112" s="190">
        <f t="shared" si="103"/>
        <v>0.05</v>
      </c>
      <c r="V112" s="205" t="s">
        <v>663</v>
      </c>
      <c r="W112" s="140" t="s">
        <v>333</v>
      </c>
      <c r="X112" s="140" t="s">
        <v>234</v>
      </c>
      <c r="Y112" s="140" t="str">
        <f>Y70</f>
        <v xml:space="preserve">Leuning, Staal gecoat </v>
      </c>
    </row>
    <row r="113" spans="1:25" s="220" customFormat="1" ht="14.25" customHeight="1" x14ac:dyDescent="0.2">
      <c r="A113" s="208">
        <f>C113</f>
        <v>4</v>
      </c>
      <c r="B113" s="209" t="s">
        <v>55</v>
      </c>
      <c r="C113" s="210">
        <f>IF(B113=B112,C112,C112+1)</f>
        <v>4</v>
      </c>
      <c r="D113" s="211">
        <f>F113</f>
        <v>18</v>
      </c>
      <c r="E113" s="232" t="s">
        <v>68</v>
      </c>
      <c r="F113" s="213">
        <f>IF(E113=E112,F112,F112+1)</f>
        <v>18</v>
      </c>
      <c r="G113" s="214"/>
      <c r="H113" s="232" t="s">
        <v>28</v>
      </c>
      <c r="I113" s="321">
        <v>109</v>
      </c>
      <c r="J113" s="215" t="s">
        <v>50</v>
      </c>
      <c r="K113" s="296">
        <f t="shared" si="101"/>
        <v>-1.8275572455561551</v>
      </c>
      <c r="L113" s="331">
        <f t="shared" si="101"/>
        <v>-1</v>
      </c>
      <c r="M113" s="345">
        <f t="shared" si="101"/>
        <v>181.54974780000001</v>
      </c>
      <c r="N113" s="345">
        <f>IFERROR(IF(Q113&lt;P113,M113/Q113,M113/P113),"")</f>
        <v>2.4206633040000001</v>
      </c>
      <c r="O113" s="345">
        <f t="shared" si="102"/>
        <v>1.712194020336361</v>
      </c>
      <c r="P113" s="216">
        <f t="shared" si="102"/>
        <v>75</v>
      </c>
      <c r="Q113" s="203">
        <f>'Invoer en resultaat'!$H$9</f>
        <v>100</v>
      </c>
      <c r="R113" s="203">
        <f>Q113-P113</f>
        <v>25</v>
      </c>
      <c r="S113" s="358">
        <f t="shared" si="103"/>
        <v>1</v>
      </c>
      <c r="T113" s="359">
        <f t="shared" si="103"/>
        <v>3.0000000000000001E-3</v>
      </c>
      <c r="U113" s="217">
        <f t="shared" si="103"/>
        <v>0.05</v>
      </c>
      <c r="V113" s="218"/>
      <c r="W113" s="229" t="s">
        <v>262</v>
      </c>
      <c r="X113" s="229" t="s">
        <v>234</v>
      </c>
      <c r="Y113" s="229" t="str">
        <f>Y71</f>
        <v>Leuning, RVS</v>
      </c>
    </row>
    <row r="114" spans="1:25" s="510" customFormat="1" x14ac:dyDescent="0.2">
      <c r="A114" s="494">
        <f>C114</f>
        <v>4</v>
      </c>
      <c r="B114" s="209" t="str">
        <f>B113</f>
        <v>Gemaal</v>
      </c>
      <c r="C114" s="496">
        <f>IF(B114=B113,C113,C113+1)</f>
        <v>4</v>
      </c>
      <c r="D114" s="497">
        <f>F114</f>
        <v>18</v>
      </c>
      <c r="E114" s="498" t="str">
        <f>E113</f>
        <v>leuning</v>
      </c>
      <c r="F114" s="499">
        <f>IF(E114=E113,F113,F113+1)</f>
        <v>18</v>
      </c>
      <c r="G114" s="500"/>
      <c r="H114" s="500" t="s">
        <v>669</v>
      </c>
      <c r="I114" s="321">
        <v>110</v>
      </c>
      <c r="J114" s="501" t="s">
        <v>49</v>
      </c>
      <c r="K114" s="502"/>
      <c r="L114" s="503"/>
      <c r="M114" s="504"/>
      <c r="N114" s="504"/>
      <c r="O114" s="504"/>
      <c r="P114" s="505">
        <v>50</v>
      </c>
      <c r="Q114" s="513">
        <f>'Invoer en resultaat'!$H$9</f>
        <v>100</v>
      </c>
      <c r="R114" s="513">
        <f>Q114-P114</f>
        <v>50</v>
      </c>
      <c r="S114" s="514">
        <f>IF(Q114&lt;P114,0,ROUNDDOWN(Q114/P114-0.01,0))</f>
        <v>1</v>
      </c>
      <c r="T114" s="506"/>
      <c r="U114" s="507"/>
      <c r="V114" s="508" t="s">
        <v>668</v>
      </c>
      <c r="W114" s="509"/>
      <c r="X114" s="509"/>
      <c r="Y114" s="509"/>
    </row>
    <row r="115" spans="1:25" s="205" customFormat="1" ht="14.25" customHeight="1" x14ac:dyDescent="0.2">
      <c r="A115" s="196">
        <f t="shared" si="65"/>
        <v>4</v>
      </c>
      <c r="B115" s="197" t="s">
        <v>55</v>
      </c>
      <c r="C115" s="198">
        <f>IF(B115=B113,C113,C113+1)</f>
        <v>4</v>
      </c>
      <c r="D115" s="199">
        <f t="shared" ref="D115:D165" si="104">F115</f>
        <v>19</v>
      </c>
      <c r="E115" s="231" t="s">
        <v>93</v>
      </c>
      <c r="F115" s="200">
        <f>IF(E115=E113,F113,F113+1)</f>
        <v>19</v>
      </c>
      <c r="G115" s="201"/>
      <c r="H115" s="231" t="s">
        <v>83</v>
      </c>
      <c r="I115" s="321">
        <v>111</v>
      </c>
      <c r="J115" s="202" t="s">
        <v>49</v>
      </c>
      <c r="K115" s="292">
        <f>K337</f>
        <v>-1.1002841855679293</v>
      </c>
      <c r="L115" s="331">
        <f>L337</f>
        <v>-1</v>
      </c>
      <c r="M115" s="342">
        <f>M337</f>
        <v>3.6711</v>
      </c>
      <c r="N115" s="342">
        <f t="shared" si="55"/>
        <v>7.3422000000000001E-2</v>
      </c>
      <c r="O115" s="342">
        <f t="shared" ref="O115:O120" si="105">IF(K115&lt;-1,(2*AVERAGE($N$115:$N$126)),N115)</f>
        <v>6.9916252766666673E-2</v>
      </c>
      <c r="P115" s="203">
        <f t="shared" ref="P115:P120" si="106">P337</f>
        <v>50</v>
      </c>
      <c r="Q115" s="203">
        <f>'Invoer en resultaat'!$H$9</f>
        <v>100</v>
      </c>
      <c r="R115" s="203">
        <f t="shared" si="56"/>
        <v>50</v>
      </c>
      <c r="S115" s="357">
        <f t="shared" ref="S115:T120" si="107">S337</f>
        <v>1</v>
      </c>
      <c r="T115" s="354">
        <f t="shared" si="107"/>
        <v>5.2999999999999999E-2</v>
      </c>
      <c r="U115" s="190">
        <v>0</v>
      </c>
      <c r="V115" s="174"/>
      <c r="W115" s="140" t="s">
        <v>306</v>
      </c>
      <c r="X115" s="227"/>
      <c r="Y115" s="140" t="str">
        <f t="shared" ref="Y115:Y120" si="108">Y337</f>
        <v>Bekleding, kunststof grastegels grids (HPDE)</v>
      </c>
    </row>
    <row r="116" spans="1:25" s="205" customFormat="1" ht="14.25" customHeight="1" x14ac:dyDescent="0.2">
      <c r="A116" s="196">
        <f t="shared" si="65"/>
        <v>4</v>
      </c>
      <c r="B116" s="197" t="s">
        <v>55</v>
      </c>
      <c r="C116" s="198">
        <f t="shared" si="98"/>
        <v>4</v>
      </c>
      <c r="D116" s="199">
        <f t="shared" si="104"/>
        <v>19</v>
      </c>
      <c r="E116" s="231" t="s">
        <v>93</v>
      </c>
      <c r="F116" s="200">
        <f t="shared" ref="F116:F122" si="109">IF(E116=E115,F115,F115+1)</f>
        <v>19</v>
      </c>
      <c r="G116" s="201"/>
      <c r="H116" s="231" t="s">
        <v>36</v>
      </c>
      <c r="I116" s="321">
        <v>112</v>
      </c>
      <c r="J116" s="202" t="s">
        <v>49</v>
      </c>
      <c r="K116" s="292">
        <f t="shared" ref="K116:L116" si="110">K338</f>
        <v>-0.8527599359809892</v>
      </c>
      <c r="L116" s="331">
        <f t="shared" si="110"/>
        <v>-0.86837396610828055</v>
      </c>
      <c r="M116" s="342">
        <f>M338</f>
        <v>3.2384507999999999</v>
      </c>
      <c r="N116" s="342">
        <f t="shared" si="55"/>
        <v>6.4769015999999999E-2</v>
      </c>
      <c r="O116" s="342">
        <f t="shared" si="105"/>
        <v>6.4769015999999999E-2</v>
      </c>
      <c r="P116" s="203">
        <f t="shared" si="106"/>
        <v>50</v>
      </c>
      <c r="Q116" s="203">
        <f>'Invoer en resultaat'!$H$9</f>
        <v>100</v>
      </c>
      <c r="R116" s="203">
        <f t="shared" si="56"/>
        <v>50</v>
      </c>
      <c r="S116" s="357">
        <f t="shared" si="107"/>
        <v>1</v>
      </c>
      <c r="T116" s="354">
        <f t="shared" si="107"/>
        <v>0.12</v>
      </c>
      <c r="U116" s="190">
        <v>0</v>
      </c>
      <c r="V116" s="174"/>
      <c r="W116" s="140"/>
      <c r="X116" s="140"/>
      <c r="Y116" s="140" t="str">
        <f t="shared" si="108"/>
        <v>Betonmortel C30/37 (CEMIII) 2386 kgm3</v>
      </c>
    </row>
    <row r="117" spans="1:25" s="205" customFormat="1" ht="14.25" customHeight="1" x14ac:dyDescent="0.2">
      <c r="A117" s="196">
        <f t="shared" si="65"/>
        <v>4</v>
      </c>
      <c r="B117" s="197" t="s">
        <v>55</v>
      </c>
      <c r="C117" s="198">
        <f t="shared" si="98"/>
        <v>4</v>
      </c>
      <c r="D117" s="199">
        <f t="shared" si="104"/>
        <v>19</v>
      </c>
      <c r="E117" s="231" t="s">
        <v>93</v>
      </c>
      <c r="F117" s="200">
        <f t="shared" si="109"/>
        <v>19</v>
      </c>
      <c r="G117" s="201"/>
      <c r="H117" s="231" t="s">
        <v>45</v>
      </c>
      <c r="I117" s="321">
        <v>113</v>
      </c>
      <c r="J117" s="202" t="s">
        <v>49</v>
      </c>
      <c r="K117" s="292">
        <f t="shared" ref="K117" si="111">K339</f>
        <v>-0.54396661331749097</v>
      </c>
      <c r="L117" s="331">
        <f>$L$339</f>
        <v>-0.54396661331749097</v>
      </c>
      <c r="M117" s="342">
        <f>M339</f>
        <v>2.698709</v>
      </c>
      <c r="N117" s="342">
        <f t="shared" si="55"/>
        <v>5.3974180000000004E-2</v>
      </c>
      <c r="O117" s="342">
        <f t="shared" si="105"/>
        <v>5.3974180000000004E-2</v>
      </c>
      <c r="P117" s="203">
        <f t="shared" si="106"/>
        <v>50</v>
      </c>
      <c r="Q117" s="203">
        <f>'Invoer en resultaat'!$H$9</f>
        <v>100</v>
      </c>
      <c r="R117" s="203">
        <f t="shared" si="56"/>
        <v>50</v>
      </c>
      <c r="S117" s="357">
        <f t="shared" si="107"/>
        <v>1</v>
      </c>
      <c r="T117" s="354">
        <f t="shared" si="107"/>
        <v>0.1</v>
      </c>
      <c r="U117" s="190">
        <v>0</v>
      </c>
      <c r="V117" s="174"/>
      <c r="W117" s="140"/>
      <c r="X117" s="140"/>
      <c r="Y117" s="140" t="str">
        <f t="shared" si="108"/>
        <v>Betonmortel C30/37 (CEMIII) 2386 kgm3</v>
      </c>
    </row>
    <row r="118" spans="1:25" s="205" customFormat="1" ht="14.25" customHeight="1" x14ac:dyDescent="0.2">
      <c r="A118" s="196">
        <f t="shared" si="65"/>
        <v>4</v>
      </c>
      <c r="B118" s="197" t="s">
        <v>55</v>
      </c>
      <c r="C118" s="198">
        <f t="shared" si="98"/>
        <v>4</v>
      </c>
      <c r="D118" s="199">
        <f t="shared" si="104"/>
        <v>19</v>
      </c>
      <c r="E118" s="231" t="s">
        <v>93</v>
      </c>
      <c r="F118" s="200">
        <f t="shared" si="109"/>
        <v>19</v>
      </c>
      <c r="G118" s="201"/>
      <c r="H118" s="231" t="s">
        <v>2</v>
      </c>
      <c r="I118" s="321">
        <v>114</v>
      </c>
      <c r="J118" s="202" t="s">
        <v>49</v>
      </c>
      <c r="K118" s="292">
        <f t="shared" ref="K118:L118" si="112">K340</f>
        <v>-0.54396661331749097</v>
      </c>
      <c r="L118" s="331">
        <f t="shared" si="112"/>
        <v>-0.55697830509023394</v>
      </c>
      <c r="M118" s="342">
        <f>M340</f>
        <v>2.698709</v>
      </c>
      <c r="N118" s="342">
        <f t="shared" si="55"/>
        <v>5.3974180000000004E-2</v>
      </c>
      <c r="O118" s="342">
        <f t="shared" si="105"/>
        <v>5.3974180000000004E-2</v>
      </c>
      <c r="P118" s="203">
        <f t="shared" si="106"/>
        <v>50</v>
      </c>
      <c r="Q118" s="203">
        <f>'Invoer en resultaat'!$H$9</f>
        <v>100</v>
      </c>
      <c r="R118" s="203">
        <f t="shared" si="56"/>
        <v>50</v>
      </c>
      <c r="S118" s="357">
        <f t="shared" si="107"/>
        <v>1</v>
      </c>
      <c r="T118" s="354">
        <f t="shared" si="107"/>
        <v>0.1</v>
      </c>
      <c r="U118" s="190">
        <v>0</v>
      </c>
      <c r="V118" s="174"/>
      <c r="W118" s="140"/>
      <c r="X118" s="140"/>
      <c r="Y118" s="140" t="str">
        <f t="shared" si="108"/>
        <v>Betonmortel C30/37 (CEMIII) 2386 kgm3</v>
      </c>
    </row>
    <row r="119" spans="1:25" s="205" customFormat="1" ht="14.25" customHeight="1" x14ac:dyDescent="0.2">
      <c r="A119" s="196">
        <f t="shared" si="65"/>
        <v>4</v>
      </c>
      <c r="B119" s="197" t="s">
        <v>55</v>
      </c>
      <c r="C119" s="198">
        <f t="shared" si="98"/>
        <v>4</v>
      </c>
      <c r="D119" s="199">
        <f t="shared" si="104"/>
        <v>19</v>
      </c>
      <c r="E119" s="231" t="s">
        <v>93</v>
      </c>
      <c r="F119" s="200">
        <f t="shared" si="109"/>
        <v>19</v>
      </c>
      <c r="G119" s="201"/>
      <c r="H119" s="231" t="s">
        <v>46</v>
      </c>
      <c r="I119" s="321">
        <v>115</v>
      </c>
      <c r="J119" s="202" t="s">
        <v>49</v>
      </c>
      <c r="K119" s="292">
        <f t="shared" ref="K119:L119" si="113">K341</f>
        <v>0.99514657627415382</v>
      </c>
      <c r="L119" s="331">
        <f t="shared" si="113"/>
        <v>0.99510567431874974</v>
      </c>
      <c r="M119" s="342">
        <f>M341</f>
        <v>8.483329999999999E-3</v>
      </c>
      <c r="N119" s="342">
        <f t="shared" si="55"/>
        <v>1.6966659999999997E-4</v>
      </c>
      <c r="O119" s="342">
        <f t="shared" si="105"/>
        <v>1.6966659999999997E-4</v>
      </c>
      <c r="P119" s="203">
        <f t="shared" si="106"/>
        <v>50</v>
      </c>
      <c r="Q119" s="203">
        <f>'Invoer en resultaat'!$H$9</f>
        <v>100</v>
      </c>
      <c r="R119" s="203">
        <f t="shared" si="56"/>
        <v>50</v>
      </c>
      <c r="S119" s="357">
        <f t="shared" si="107"/>
        <v>1</v>
      </c>
      <c r="T119" s="354">
        <f t="shared" si="107"/>
        <v>0.1</v>
      </c>
      <c r="U119" s="190">
        <v>0</v>
      </c>
      <c r="V119" s="174"/>
      <c r="W119" s="140"/>
      <c r="X119" s="140"/>
      <c r="Y119" s="140" t="str">
        <f t="shared" si="108"/>
        <v>Straatbaksteen GWW, KNB</v>
      </c>
    </row>
    <row r="120" spans="1:25" s="205" customFormat="1" ht="14.25" customHeight="1" x14ac:dyDescent="0.2">
      <c r="A120" s="196">
        <f t="shared" si="65"/>
        <v>4</v>
      </c>
      <c r="B120" s="197" t="s">
        <v>55</v>
      </c>
      <c r="C120" s="198">
        <f t="shared" si="98"/>
        <v>4</v>
      </c>
      <c r="D120" s="199">
        <f t="shared" si="104"/>
        <v>19</v>
      </c>
      <c r="E120" s="231" t="s">
        <v>93</v>
      </c>
      <c r="F120" s="200">
        <f t="shared" si="109"/>
        <v>19</v>
      </c>
      <c r="G120" s="201"/>
      <c r="H120" s="231" t="s">
        <v>56</v>
      </c>
      <c r="I120" s="321">
        <v>116</v>
      </c>
      <c r="J120" s="202" t="s">
        <v>49</v>
      </c>
      <c r="K120" s="292">
        <f t="shared" ref="K120:L120" si="114">K342</f>
        <v>-0.23517329065399251</v>
      </c>
      <c r="L120" s="331">
        <f t="shared" si="114"/>
        <v>-0.24558264407218688</v>
      </c>
      <c r="M120" s="342">
        <f>M342</f>
        <v>2.1589671999999998</v>
      </c>
      <c r="N120" s="342">
        <f t="shared" si="55"/>
        <v>4.3179343999999995E-2</v>
      </c>
      <c r="O120" s="342">
        <f t="shared" si="105"/>
        <v>4.3179343999999995E-2</v>
      </c>
      <c r="P120" s="203">
        <f t="shared" si="106"/>
        <v>50</v>
      </c>
      <c r="Q120" s="203">
        <f>'Invoer en resultaat'!$H$9</f>
        <v>100</v>
      </c>
      <c r="R120" s="203">
        <f t="shared" si="56"/>
        <v>50</v>
      </c>
      <c r="S120" s="357">
        <f t="shared" si="107"/>
        <v>1</v>
      </c>
      <c r="T120" s="354">
        <f t="shared" si="107"/>
        <v>0.08</v>
      </c>
      <c r="U120" s="190">
        <v>0</v>
      </c>
      <c r="V120" s="174"/>
      <c r="W120" s="140"/>
      <c r="X120" s="140"/>
      <c r="Y120" s="140" t="str">
        <f t="shared" si="108"/>
        <v>Betonmortel C30/37 (CEMIII) 2386 kgm3</v>
      </c>
    </row>
    <row r="121" spans="1:25" s="205" customFormat="1" ht="14.25" customHeight="1" x14ac:dyDescent="0.2">
      <c r="A121" s="196">
        <f t="shared" ref="A121:A122" si="115">C121</f>
        <v>4</v>
      </c>
      <c r="B121" s="197" t="s">
        <v>55</v>
      </c>
      <c r="C121" s="198">
        <f t="shared" ref="C121:C122" si="116">IF(B121=B120,C120,C120+1)</f>
        <v>4</v>
      </c>
      <c r="D121" s="199">
        <f t="shared" ref="D121:D122" si="117">F121</f>
        <v>19</v>
      </c>
      <c r="E121" s="231" t="s">
        <v>93</v>
      </c>
      <c r="F121" s="200">
        <f t="shared" si="109"/>
        <v>19</v>
      </c>
      <c r="G121" s="201"/>
      <c r="H121" s="231" t="str">
        <f>H317</f>
        <v>Biobound betontegels</v>
      </c>
      <c r="I121" s="321">
        <v>117</v>
      </c>
      <c r="J121" s="202" t="s">
        <v>49</v>
      </c>
      <c r="K121" s="292">
        <f>K$343</f>
        <v>0.11757284524530121</v>
      </c>
      <c r="L121" s="331">
        <f t="shared" ref="L121:Q121" si="118">L$343</f>
        <v>0.11013624004248812</v>
      </c>
      <c r="M121" s="342">
        <f t="shared" si="118"/>
        <v>1.5424000000000002</v>
      </c>
      <c r="N121" s="342">
        <f t="shared" si="118"/>
        <v>3.0848000000000004E-2</v>
      </c>
      <c r="O121" s="342">
        <f t="shared" si="118"/>
        <v>3.0848000000000004E-2</v>
      </c>
      <c r="P121" s="203">
        <f t="shared" si="118"/>
        <v>50</v>
      </c>
      <c r="Q121" s="203">
        <f t="shared" si="118"/>
        <v>100</v>
      </c>
      <c r="R121" s="204"/>
      <c r="S121" s="354">
        <f>S$343</f>
        <v>1</v>
      </c>
      <c r="T121" s="354">
        <f>T$343</f>
        <v>0.08</v>
      </c>
      <c r="U121" s="174">
        <f>U$343</f>
        <v>0</v>
      </c>
      <c r="V121" s="140">
        <f>V$343</f>
        <v>0</v>
      </c>
      <c r="W121" s="140">
        <f>W$343</f>
        <v>0</v>
      </c>
      <c r="X121" s="140"/>
      <c r="Y121" s="205" t="str">
        <f>Y$343</f>
        <v>Biobound betontegels, 8 cm dik</v>
      </c>
    </row>
    <row r="122" spans="1:25" s="205" customFormat="1" ht="14.25" customHeight="1" x14ac:dyDescent="0.2">
      <c r="A122" s="196">
        <f t="shared" si="115"/>
        <v>4</v>
      </c>
      <c r="B122" s="197" t="s">
        <v>55</v>
      </c>
      <c r="C122" s="198">
        <f t="shared" si="116"/>
        <v>4</v>
      </c>
      <c r="D122" s="199">
        <f t="shared" si="117"/>
        <v>19</v>
      </c>
      <c r="E122" s="231" t="s">
        <v>93</v>
      </c>
      <c r="F122" s="200">
        <f t="shared" si="109"/>
        <v>19</v>
      </c>
      <c r="G122" s="201"/>
      <c r="H122" s="231" t="str">
        <f>H318</f>
        <v>Biobound betonstraatstenen</v>
      </c>
      <c r="I122" s="321">
        <v>118</v>
      </c>
      <c r="J122" s="202" t="s">
        <v>49</v>
      </c>
      <c r="K122" s="292">
        <f>K$344</f>
        <v>0.11951802958539859</v>
      </c>
      <c r="L122" s="331">
        <f t="shared" ref="L122:Q122" si="119">L$344</f>
        <v>0.11209781731417889</v>
      </c>
      <c r="M122" s="342">
        <f t="shared" si="119"/>
        <v>1.5389999999999999</v>
      </c>
      <c r="N122" s="342">
        <f t="shared" si="119"/>
        <v>3.0779999999999998E-2</v>
      </c>
      <c r="O122" s="342">
        <f t="shared" si="119"/>
        <v>3.0779999999999998E-2</v>
      </c>
      <c r="P122" s="203">
        <f t="shared" si="119"/>
        <v>50</v>
      </c>
      <c r="Q122" s="203">
        <f t="shared" si="119"/>
        <v>100</v>
      </c>
      <c r="R122" s="204"/>
      <c r="S122" s="354">
        <f>S$344</f>
        <v>1</v>
      </c>
      <c r="T122" s="354">
        <f>T$344</f>
        <v>0.1</v>
      </c>
      <c r="U122" s="174">
        <f>U$344</f>
        <v>0</v>
      </c>
      <c r="V122" s="140">
        <f>V$344</f>
        <v>0</v>
      </c>
      <c r="W122" s="140">
        <f>W$344</f>
        <v>0</v>
      </c>
      <c r="X122" s="140"/>
      <c r="Y122" s="205" t="str">
        <f>Y$344</f>
        <v>Biobound betonstraatstenen, 10 cm dik</v>
      </c>
    </row>
    <row r="123" spans="1:25" s="205" customFormat="1" ht="14.25" customHeight="1" x14ac:dyDescent="0.2">
      <c r="A123" s="196">
        <f t="shared" si="65"/>
        <v>4</v>
      </c>
      <c r="B123" s="197" t="s">
        <v>55</v>
      </c>
      <c r="C123" s="198">
        <f>IF(B123='Innovatieve Duurzame opties'!B4,'Innovatieve Duurzame opties'!C4,'Innovatieve Duurzame opties'!C4+1)</f>
        <v>4</v>
      </c>
      <c r="D123" s="199">
        <f t="shared" si="104"/>
        <v>19</v>
      </c>
      <c r="E123" s="231" t="s">
        <v>93</v>
      </c>
      <c r="F123" s="200">
        <f>IF(E123='Innovatieve Duurzame opties'!E4,'Innovatieve Duurzame opties'!F4,'Innovatieve Duurzame opties'!F4+1)</f>
        <v>19</v>
      </c>
      <c r="G123" s="201"/>
      <c r="H123" s="231" t="str">
        <f>H345</f>
        <v>asfalt, AC surf zonder recycling</v>
      </c>
      <c r="I123" s="321">
        <v>119</v>
      </c>
      <c r="J123" s="202" t="s">
        <v>49</v>
      </c>
      <c r="K123" s="292">
        <f t="shared" ref="K123:L124" si="120">K345</f>
        <v>0.2768133588517171</v>
      </c>
      <c r="L123" s="331">
        <f t="shared" si="120"/>
        <v>0.27071874411871599</v>
      </c>
      <c r="M123" s="342">
        <f t="shared" ref="M123:M126" si="121">M345</f>
        <v>0.5056250000000001</v>
      </c>
      <c r="N123" s="342">
        <f t="shared" si="55"/>
        <v>2.5281250000000005E-2</v>
      </c>
      <c r="O123" s="342">
        <f>IF(K123&lt;-1,(2*AVERAGE($N$115:$N$126)),N123)</f>
        <v>2.5281250000000005E-2</v>
      </c>
      <c r="P123" s="203">
        <f t="shared" ref="P123:T126" si="122">P345</f>
        <v>20</v>
      </c>
      <c r="Q123" s="203">
        <f>'Invoer en resultaat'!$H$9</f>
        <v>100</v>
      </c>
      <c r="R123" s="203">
        <f t="shared" si="56"/>
        <v>80</v>
      </c>
      <c r="S123" s="357">
        <f t="shared" si="122"/>
        <v>4</v>
      </c>
      <c r="T123" s="354">
        <f t="shared" si="122"/>
        <v>2.5000000000000001E-2</v>
      </c>
      <c r="U123" s="190">
        <v>0</v>
      </c>
      <c r="V123" s="174"/>
      <c r="W123" s="140"/>
      <c r="X123" s="140"/>
      <c r="Y123" s="140" t="str">
        <f t="shared" ref="Y123:Y126" si="123">Y345</f>
        <v>Asfalt, AC surf zonder PR, 25 mm</v>
      </c>
    </row>
    <row r="124" spans="1:25" s="205" customFormat="1" ht="14.25" customHeight="1" x14ac:dyDescent="0.2">
      <c r="A124" s="196">
        <f t="shared" si="65"/>
        <v>4</v>
      </c>
      <c r="B124" s="197" t="s">
        <v>55</v>
      </c>
      <c r="C124" s="198">
        <f>IF(B124='Innovatieve Duurzame opties'!B5,'Innovatieve Duurzame opties'!C5,'Innovatieve Duurzame opties'!C5+1)</f>
        <v>4</v>
      </c>
      <c r="D124" s="199">
        <f t="shared" ref="D124" si="124">F124</f>
        <v>19</v>
      </c>
      <c r="E124" s="231" t="s">
        <v>93</v>
      </c>
      <c r="F124" s="200">
        <f>IF(E124='Innovatieve Duurzame opties'!E5,'Innovatieve Duurzame opties'!F5,'Innovatieve Duurzame opties'!F5+1)</f>
        <v>19</v>
      </c>
      <c r="G124" s="201"/>
      <c r="H124" s="231" t="str">
        <f>H346</f>
        <v>Duurzaam asfalt. AC 11 surf 40/60 Lynpave</v>
      </c>
      <c r="I124" s="321">
        <v>120</v>
      </c>
      <c r="J124" s="202" t="s">
        <v>49</v>
      </c>
      <c r="K124" s="292">
        <f t="shared" si="120"/>
        <v>0.4019630866153262</v>
      </c>
      <c r="L124" s="331">
        <f>L346</f>
        <v>0.39692316417233764</v>
      </c>
      <c r="M124" s="342">
        <f t="shared" si="121"/>
        <v>0.41812499999999997</v>
      </c>
      <c r="N124" s="342">
        <f t="shared" si="55"/>
        <v>2.0906249999999998E-2</v>
      </c>
      <c r="O124" s="342">
        <f>IF(K124&lt;-1,(2*AVERAGE($N$115:$N$126)),N124)</f>
        <v>2.0906249999999998E-2</v>
      </c>
      <c r="P124" s="203">
        <f t="shared" si="122"/>
        <v>20</v>
      </c>
      <c r="Q124" s="203">
        <f>'Invoer en resultaat'!$H$9</f>
        <v>100</v>
      </c>
      <c r="R124" s="203">
        <f t="shared" si="56"/>
        <v>80</v>
      </c>
      <c r="S124" s="357">
        <f t="shared" si="122"/>
        <v>4</v>
      </c>
      <c r="T124" s="354">
        <f t="shared" si="122"/>
        <v>2.5000000000000001E-2</v>
      </c>
      <c r="U124" s="190"/>
      <c r="V124" s="174"/>
      <c r="W124" s="140"/>
      <c r="X124" s="140"/>
      <c r="Y124" s="140" t="str">
        <f t="shared" si="123"/>
        <v>Duurzaam asfalt o.b.v. AC 11 surf 40/60 Lynpave, 25 mm</v>
      </c>
    </row>
    <row r="125" spans="1:25" s="205" customFormat="1" ht="14.25" customHeight="1" x14ac:dyDescent="0.2">
      <c r="A125" s="196">
        <f t="shared" si="65"/>
        <v>4</v>
      </c>
      <c r="B125" s="197" t="s">
        <v>55</v>
      </c>
      <c r="C125" s="198">
        <f>IF(B125='Innovatieve Duurzame opties'!B5,'Innovatieve Duurzame opties'!C5,'Innovatieve Duurzame opties'!C5+1)</f>
        <v>4</v>
      </c>
      <c r="D125" s="199">
        <f t="shared" si="104"/>
        <v>19</v>
      </c>
      <c r="E125" s="231" t="s">
        <v>93</v>
      </c>
      <c r="F125" s="200">
        <f>IF(E125=E123,F123,F123+1)</f>
        <v>19</v>
      </c>
      <c r="G125" s="201"/>
      <c r="H125" s="231" t="s">
        <v>3</v>
      </c>
      <c r="I125" s="321">
        <v>121</v>
      </c>
      <c r="J125" s="202" t="s">
        <v>49</v>
      </c>
      <c r="K125" s="292">
        <f t="shared" ref="K125:L125" si="125">K347</f>
        <v>0.83510257567040869</v>
      </c>
      <c r="L125" s="331">
        <f t="shared" si="125"/>
        <v>0.83371291190372543</v>
      </c>
      <c r="M125" s="342">
        <f t="shared" si="121"/>
        <v>0.57645050000000009</v>
      </c>
      <c r="N125" s="342">
        <f t="shared" si="55"/>
        <v>5.7645050000000005E-3</v>
      </c>
      <c r="O125" s="342">
        <f>IF(K125&lt;-1,(2*AVERAGE($N$115:$N$126)),N125)</f>
        <v>5.7645050000000005E-3</v>
      </c>
      <c r="P125" s="203">
        <f t="shared" si="122"/>
        <v>100</v>
      </c>
      <c r="Q125" s="203">
        <f>'Invoer en resultaat'!$H$9</f>
        <v>100</v>
      </c>
      <c r="R125" s="203">
        <f t="shared" si="56"/>
        <v>0</v>
      </c>
      <c r="S125" s="357">
        <f t="shared" si="122"/>
        <v>0</v>
      </c>
      <c r="T125" s="354">
        <f t="shared" si="122"/>
        <v>0.25</v>
      </c>
      <c r="U125" s="190">
        <v>0</v>
      </c>
      <c r="V125" s="174"/>
      <c r="W125" s="140"/>
      <c r="X125" s="140"/>
      <c r="Y125" s="140" t="str">
        <f t="shared" si="123"/>
        <v xml:space="preserve">Verhardingen, Grind </v>
      </c>
    </row>
    <row r="126" spans="1:25" s="220" customFormat="1" ht="14.25" customHeight="1" x14ac:dyDescent="0.2">
      <c r="A126" s="208">
        <f t="shared" si="65"/>
        <v>4</v>
      </c>
      <c r="B126" s="209" t="s">
        <v>55</v>
      </c>
      <c r="C126" s="210">
        <f t="shared" ref="C126:C155" si="126">IF(B126=B125,C125,C125+1)</f>
        <v>4</v>
      </c>
      <c r="D126" s="211">
        <f t="shared" si="104"/>
        <v>19</v>
      </c>
      <c r="E126" s="232" t="s">
        <v>93</v>
      </c>
      <c r="F126" s="213">
        <f t="shared" ref="F126:F135" si="127">IF(E126=E125,F125,F125+1)</f>
        <v>19</v>
      </c>
      <c r="G126" s="214"/>
      <c r="H126" s="232" t="s">
        <v>84</v>
      </c>
      <c r="I126" s="321">
        <v>122</v>
      </c>
      <c r="J126" s="215" t="s">
        <v>49</v>
      </c>
      <c r="K126" s="296">
        <f t="shared" ref="K126:L126" si="128">K348</f>
        <v>0.53003416659558844</v>
      </c>
      <c r="L126" s="331">
        <f t="shared" si="128"/>
        <v>0.52607355597406791</v>
      </c>
      <c r="M126" s="345">
        <f t="shared" si="121"/>
        <v>1.6429124999999998</v>
      </c>
      <c r="N126" s="345">
        <f t="shared" si="55"/>
        <v>1.6429124999999999E-2</v>
      </c>
      <c r="O126" s="345">
        <f>IF(K126&lt;-1,(2*AVERAGE($N$115:$N$126)),N126)</f>
        <v>1.6429124999999999E-2</v>
      </c>
      <c r="P126" s="216">
        <f t="shared" si="122"/>
        <v>100</v>
      </c>
      <c r="Q126" s="203">
        <f>'Invoer en resultaat'!$H$9</f>
        <v>100</v>
      </c>
      <c r="R126" s="203">
        <f t="shared" si="56"/>
        <v>0</v>
      </c>
      <c r="S126" s="358">
        <f t="shared" si="122"/>
        <v>0</v>
      </c>
      <c r="T126" s="359">
        <f t="shared" si="122"/>
        <v>0.25</v>
      </c>
      <c r="U126" s="217">
        <v>0</v>
      </c>
      <c r="V126" s="218"/>
      <c r="W126" s="229"/>
      <c r="X126" s="229"/>
      <c r="Y126" s="229" t="str">
        <f t="shared" si="123"/>
        <v>Bekleding, waterbouw steenbreuksteen natuursteen</v>
      </c>
    </row>
    <row r="127" spans="1:25" s="205" customFormat="1" ht="14.25" customHeight="1" x14ac:dyDescent="0.2">
      <c r="A127" s="196">
        <f t="shared" si="65"/>
        <v>4</v>
      </c>
      <c r="B127" s="197" t="s">
        <v>55</v>
      </c>
      <c r="C127" s="198">
        <f t="shared" si="126"/>
        <v>4</v>
      </c>
      <c r="D127" s="199">
        <f t="shared" si="104"/>
        <v>20</v>
      </c>
      <c r="E127" s="175" t="s">
        <v>14</v>
      </c>
      <c r="F127" s="200">
        <f t="shared" si="127"/>
        <v>20</v>
      </c>
      <c r="G127" s="201"/>
      <c r="H127" s="175" t="s">
        <v>16</v>
      </c>
      <c r="I127" s="321">
        <v>123</v>
      </c>
      <c r="J127" s="202" t="s">
        <v>49</v>
      </c>
      <c r="K127" s="292">
        <f>1-(N127/AVERAGE($N$127:$N$134))</f>
        <v>0.39529821815749722</v>
      </c>
      <c r="L127" s="331">
        <f>IF(K127&gt;-1,1-(O127/AVERAGE($O$127:$O$131)),1-(O127/AVERAGE($N$127:$N$131)))</f>
        <v>0.14168579604083242</v>
      </c>
      <c r="M127" s="342">
        <f>T127*'MKI-waarden'!$D$68</f>
        <v>2.1642399999999999</v>
      </c>
      <c r="N127" s="342">
        <f t="shared" si="55"/>
        <v>2.1642399999999999E-2</v>
      </c>
      <c r="O127" s="342">
        <f>IF(K127&lt;-1,(2*AVERAGE($N$127:$N$131)),N127)</f>
        <v>2.1642399999999999E-2</v>
      </c>
      <c r="P127" s="203">
        <v>100</v>
      </c>
      <c r="Q127" s="203">
        <f>'Invoer en resultaat'!$H$9</f>
        <v>100</v>
      </c>
      <c r="R127" s="203">
        <f t="shared" si="56"/>
        <v>0</v>
      </c>
      <c r="S127" s="357">
        <f t="shared" ref="S127:S137" si="129">IF(Q127&lt;P127,0,ROUNDDOWN(Q127/P127-0.01,0))</f>
        <v>0</v>
      </c>
      <c r="T127" s="354">
        <v>0.5</v>
      </c>
      <c r="U127" s="190">
        <v>0</v>
      </c>
      <c r="W127" s="140" t="s">
        <v>148</v>
      </c>
      <c r="X127" s="140"/>
      <c r="Y127" s="140" t="str">
        <f>'MKI-waarden'!$A$68</f>
        <v>Ophoogmateriaal, zand</v>
      </c>
    </row>
    <row r="128" spans="1:25" s="205" customFormat="1" ht="14.25" customHeight="1" x14ac:dyDescent="0.2">
      <c r="A128" s="196">
        <f t="shared" si="65"/>
        <v>4</v>
      </c>
      <c r="B128" s="197" t="s">
        <v>55</v>
      </c>
      <c r="C128" s="198">
        <f t="shared" si="126"/>
        <v>4</v>
      </c>
      <c r="D128" s="199">
        <f t="shared" si="104"/>
        <v>20</v>
      </c>
      <c r="E128" s="175" t="s">
        <v>14</v>
      </c>
      <c r="F128" s="200">
        <f t="shared" si="127"/>
        <v>20</v>
      </c>
      <c r="G128" s="201"/>
      <c r="H128" s="205" t="s">
        <v>21</v>
      </c>
      <c r="I128" s="321">
        <v>124</v>
      </c>
      <c r="J128" s="202" t="s">
        <v>49</v>
      </c>
      <c r="K128" s="292">
        <f>1-(N128/AVERAGE($N$127:$N$134))</f>
        <v>0.87894595749479332</v>
      </c>
      <c r="L128" s="331">
        <f>IF(K128&gt;-1,1-(O128/AVERAGE($O$127:$O$131)),1-(O128/AVERAGE($N$127:$N$131)))</f>
        <v>0.82817579301269928</v>
      </c>
      <c r="M128" s="342">
        <f>T128*'MKI-waarden'!$D$67</f>
        <v>0.43325488499999992</v>
      </c>
      <c r="N128" s="342">
        <f t="shared" si="55"/>
        <v>4.3325488499999995E-3</v>
      </c>
      <c r="O128" s="342">
        <f>IF(K128&lt;-1,(2*AVERAGE($N$127:$N$131)),N128)</f>
        <v>4.3325488499999995E-3</v>
      </c>
      <c r="P128" s="203">
        <v>100</v>
      </c>
      <c r="Q128" s="203">
        <f>'Invoer en resultaat'!$H$9</f>
        <v>100</v>
      </c>
      <c r="R128" s="203">
        <f t="shared" si="56"/>
        <v>0</v>
      </c>
      <c r="S128" s="357">
        <f t="shared" si="129"/>
        <v>0</v>
      </c>
      <c r="T128" s="354">
        <v>0.35</v>
      </c>
      <c r="U128" s="190">
        <v>0</v>
      </c>
      <c r="W128" s="140" t="s">
        <v>148</v>
      </c>
      <c r="X128" s="140"/>
      <c r="Y128" s="140" t="str">
        <f>'MKI-waarden'!$A$67</f>
        <v>Funderingslaag Menggranulaat 300mm</v>
      </c>
    </row>
    <row r="129" spans="1:25" s="205" customFormat="1" ht="14.25" customHeight="1" x14ac:dyDescent="0.2">
      <c r="A129" s="196">
        <f t="shared" si="65"/>
        <v>4</v>
      </c>
      <c r="B129" s="197" t="s">
        <v>55</v>
      </c>
      <c r="C129" s="198">
        <f t="shared" si="126"/>
        <v>4</v>
      </c>
      <c r="D129" s="199">
        <f t="shared" si="104"/>
        <v>20</v>
      </c>
      <c r="E129" s="175" t="s">
        <v>14</v>
      </c>
      <c r="F129" s="200">
        <f t="shared" si="127"/>
        <v>20</v>
      </c>
      <c r="G129" s="201"/>
      <c r="H129" s="175" t="s">
        <v>85</v>
      </c>
      <c r="I129" s="321">
        <v>125</v>
      </c>
      <c r="J129" s="202" t="s">
        <v>49</v>
      </c>
      <c r="K129" s="292">
        <f>1-(N129/AVERAGE($N$127:$N$134))</f>
        <v>-0.33930843872310024</v>
      </c>
      <c r="L129" s="331">
        <f>IF(K129&gt;-1,1-(O129/AVERAGE($O$127:$O$131)),1-(O129/AVERAGE($N$127:$N$131)))</f>
        <v>-0.90101549384522572</v>
      </c>
      <c r="M129" s="342">
        <f>T129*'MKI-waarden'!$D$70</f>
        <v>4.7934121950000002</v>
      </c>
      <c r="N129" s="342">
        <f t="shared" si="55"/>
        <v>4.7934121949999998E-2</v>
      </c>
      <c r="O129" s="342">
        <f>IF(K129&lt;-1,(2*AVERAGE($N$127:$N$131)),N129)</f>
        <v>4.7934121949999998E-2</v>
      </c>
      <c r="P129" s="203">
        <v>100</v>
      </c>
      <c r="Q129" s="203">
        <f>'Invoer en resultaat'!$H$9</f>
        <v>100</v>
      </c>
      <c r="R129" s="203">
        <f t="shared" si="56"/>
        <v>0</v>
      </c>
      <c r="S129" s="357">
        <f t="shared" si="129"/>
        <v>0</v>
      </c>
      <c r="T129" s="354">
        <v>0.5</v>
      </c>
      <c r="U129" s="190">
        <v>0</v>
      </c>
      <c r="W129" s="140" t="s">
        <v>148</v>
      </c>
      <c r="X129" s="140"/>
      <c r="Y129" s="140" t="str">
        <f>'MKI-waarden'!$A$70</f>
        <v>Grondwerken, lichte ophoogmaterialen, BIMS (yali)</v>
      </c>
    </row>
    <row r="130" spans="1:25" s="205" customFormat="1" ht="14.25" customHeight="1" x14ac:dyDescent="0.2">
      <c r="A130" s="196">
        <f t="shared" si="65"/>
        <v>4</v>
      </c>
      <c r="B130" s="197" t="s">
        <v>55</v>
      </c>
      <c r="C130" s="198">
        <f t="shared" si="126"/>
        <v>4</v>
      </c>
      <c r="D130" s="199">
        <f t="shared" si="104"/>
        <v>20</v>
      </c>
      <c r="E130" s="175" t="s">
        <v>14</v>
      </c>
      <c r="F130" s="200">
        <f t="shared" si="127"/>
        <v>20</v>
      </c>
      <c r="G130" s="201"/>
      <c r="H130" s="175" t="s">
        <v>86</v>
      </c>
      <c r="I130" s="321">
        <v>126</v>
      </c>
      <c r="J130" s="202" t="s">
        <v>49</v>
      </c>
      <c r="K130" s="292">
        <f>1-(N130/AVERAGE($N$127:$N$134))</f>
        <v>0.83116128545503343</v>
      </c>
      <c r="L130" s="331">
        <f>IF(K130&gt;-1,1-(O130/AVERAGE($O$127:$O$131)),1-(O130/AVERAGE($N$127:$N$131)))</f>
        <v>0.76035019041849572</v>
      </c>
      <c r="M130" s="342">
        <f>T130*'MKI-waarden'!$D$108</f>
        <v>0.60427719999999996</v>
      </c>
      <c r="N130" s="342">
        <f t="shared" si="55"/>
        <v>6.0427719999999992E-3</v>
      </c>
      <c r="O130" s="342">
        <f>IF(K130&lt;-1,(2*AVERAGE($N$127:$N$131)),N130)</f>
        <v>6.0427719999999992E-3</v>
      </c>
      <c r="P130" s="203">
        <v>100</v>
      </c>
      <c r="Q130" s="203">
        <f>'Invoer en resultaat'!$H$9</f>
        <v>100</v>
      </c>
      <c r="R130" s="203">
        <f t="shared" si="56"/>
        <v>0</v>
      </c>
      <c r="S130" s="357">
        <f t="shared" si="129"/>
        <v>0</v>
      </c>
      <c r="T130" s="354">
        <v>0.5</v>
      </c>
      <c r="U130" s="190">
        <v>0</v>
      </c>
      <c r="W130" s="140" t="s">
        <v>148</v>
      </c>
      <c r="X130" s="140"/>
      <c r="Y130" s="140" t="str">
        <f>'MKI-waarden'!$A$108</f>
        <v xml:space="preserve">Schuimbeton </v>
      </c>
    </row>
    <row r="131" spans="1:25" s="220" customFormat="1" ht="14.25" customHeight="1" x14ac:dyDescent="0.2">
      <c r="A131" s="208">
        <f>C131</f>
        <v>4</v>
      </c>
      <c r="B131" s="209" t="s">
        <v>55</v>
      </c>
      <c r="C131" s="210">
        <f>IF(B131=B130,C130,C130+1)</f>
        <v>4</v>
      </c>
      <c r="D131" s="211">
        <f>F131</f>
        <v>20</v>
      </c>
      <c r="E131" s="212" t="s">
        <v>14</v>
      </c>
      <c r="F131" s="213">
        <f>IF(E131=E130,F130,F130+1)</f>
        <v>20</v>
      </c>
      <c r="G131" s="214"/>
      <c r="H131" s="212" t="s">
        <v>136</v>
      </c>
      <c r="I131" s="321">
        <v>127</v>
      </c>
      <c r="J131" s="215" t="s">
        <v>49</v>
      </c>
      <c r="K131" s="296">
        <f>1-(N131/AVERAGE($N$127:$N$134))</f>
        <v>-0.28871018113878888</v>
      </c>
      <c r="L131" s="331">
        <f>IF(K131&gt;-1,1-(O131/AVERAGE($O$127:$O$131)),1-(O131/AVERAGE($N$127:$N$131)))</f>
        <v>-0.82919628562680137</v>
      </c>
      <c r="M131" s="345">
        <f>T131*'MKI-waarden'!$D$45</f>
        <v>2.3061600000000002</v>
      </c>
      <c r="N131" s="345">
        <f>IFERROR(IF(Q131&lt;P131,M131/Q131,M131/P131),"")</f>
        <v>4.6123200000000003E-2</v>
      </c>
      <c r="O131" s="345">
        <f>IF(K131&lt;-1,(2*AVERAGE($N$127:$N$131)),N131)</f>
        <v>4.6123200000000003E-2</v>
      </c>
      <c r="P131" s="216">
        <v>50</v>
      </c>
      <c r="Q131" s="203">
        <f>'Invoer en resultaat'!$H$9</f>
        <v>100</v>
      </c>
      <c r="R131" s="203">
        <f>Q131-P131</f>
        <v>50</v>
      </c>
      <c r="S131" s="358">
        <f>IF(Q131&lt;P131,0,ROUNDDOWN(Q131/P131-0.01,0))</f>
        <v>1</v>
      </c>
      <c r="T131" s="359">
        <v>0.5</v>
      </c>
      <c r="U131" s="217">
        <v>0</v>
      </c>
      <c r="W131" s="229" t="s">
        <v>148</v>
      </c>
      <c r="X131" s="229"/>
      <c r="Y131" s="229" t="str">
        <f>'MKI-waarden'!$A$45</f>
        <v>Ophoogmateriaal, EPS</v>
      </c>
    </row>
    <row r="132" spans="1:25" s="510" customFormat="1" x14ac:dyDescent="0.2">
      <c r="A132" s="494">
        <f>C132</f>
        <v>4</v>
      </c>
      <c r="B132" s="495" t="str">
        <f>B131</f>
        <v>Gemaal</v>
      </c>
      <c r="C132" s="496">
        <f>IF(B132=B131,C131,C131+1)</f>
        <v>4</v>
      </c>
      <c r="D132" s="497">
        <f>F132</f>
        <v>20</v>
      </c>
      <c r="E132" s="498" t="str">
        <f>E131</f>
        <v>wegfundering</v>
      </c>
      <c r="F132" s="499">
        <f>IF(E132=E131,F131,F131+1)</f>
        <v>20</v>
      </c>
      <c r="G132" s="500"/>
      <c r="H132" s="500" t="s">
        <v>670</v>
      </c>
      <c r="I132" s="321">
        <v>128</v>
      </c>
      <c r="J132" s="501" t="s">
        <v>49</v>
      </c>
      <c r="K132" s="502"/>
      <c r="L132" s="503"/>
      <c r="M132" s="504"/>
      <c r="N132" s="504"/>
      <c r="O132" s="504"/>
      <c r="P132" s="505">
        <v>100</v>
      </c>
      <c r="Q132" s="513">
        <f>'Invoer en resultaat'!$H$9</f>
        <v>100</v>
      </c>
      <c r="R132" s="513">
        <f>Q132-P132</f>
        <v>0</v>
      </c>
      <c r="S132" s="514"/>
      <c r="T132" s="506"/>
      <c r="U132" s="507"/>
      <c r="V132" s="508" t="s">
        <v>668</v>
      </c>
      <c r="W132" s="509"/>
      <c r="X132" s="509"/>
      <c r="Y132" s="509"/>
    </row>
    <row r="133" spans="1:25" s="205" customFormat="1" ht="14.25" customHeight="1" x14ac:dyDescent="0.2">
      <c r="A133" s="196">
        <f t="shared" si="65"/>
        <v>4</v>
      </c>
      <c r="B133" s="197" t="s">
        <v>55</v>
      </c>
      <c r="C133" s="198">
        <f>IF(B133=B131,C131,C131+1)</f>
        <v>4</v>
      </c>
      <c r="D133" s="199">
        <f t="shared" si="104"/>
        <v>21</v>
      </c>
      <c r="E133" s="205" t="s">
        <v>22</v>
      </c>
      <c r="F133" s="200">
        <f>IF(E133=E131,F131,F131+1)</f>
        <v>21</v>
      </c>
      <c r="G133" s="201"/>
      <c r="H133" s="175" t="s">
        <v>354</v>
      </c>
      <c r="I133" s="321">
        <v>129</v>
      </c>
      <c r="J133" s="221" t="s">
        <v>49</v>
      </c>
      <c r="K133" s="292">
        <f>1-(N133/AVERAGE($N$133:$N$134))</f>
        <v>0.87313306450718176</v>
      </c>
      <c r="L133" s="331">
        <f>IF(K133&gt;-1,1-(O133/AVERAGE($O$133:$O$134)),1-(O133/AVERAGE($N$133:$N$134)))</f>
        <v>0.87313306450718176</v>
      </c>
      <c r="M133" s="470">
        <f>T133/'MKI-waarden'!N89*'MKI-waarden'!D89</f>
        <v>0.39473500000000006</v>
      </c>
      <c r="N133" s="342">
        <f t="shared" si="55"/>
        <v>7.894700000000001E-3</v>
      </c>
      <c r="O133" s="342">
        <f>IF(K133&lt;-1,(2*AVERAGE($N$133:$N$134)),N133)</f>
        <v>7.894700000000001E-3</v>
      </c>
      <c r="P133" s="203">
        <v>50</v>
      </c>
      <c r="Q133" s="203">
        <f>'Invoer en resultaat'!$H$9</f>
        <v>100</v>
      </c>
      <c r="R133" s="203">
        <f t="shared" si="56"/>
        <v>50</v>
      </c>
      <c r="S133" s="357">
        <f t="shared" si="129"/>
        <v>1</v>
      </c>
      <c r="T133" s="354">
        <v>5.0000000000000001E-3</v>
      </c>
      <c r="U133" s="190">
        <v>0</v>
      </c>
      <c r="V133" s="174"/>
      <c r="W133" s="229" t="s">
        <v>353</v>
      </c>
      <c r="X133" s="140"/>
      <c r="Y133" s="140" t="str">
        <f>'MKI-waarden'!$A$89</f>
        <v>Polyester vlies</v>
      </c>
    </row>
    <row r="134" spans="1:25" s="220" customFormat="1" ht="14.25" customHeight="1" x14ac:dyDescent="0.2">
      <c r="A134" s="208">
        <f t="shared" si="65"/>
        <v>4</v>
      </c>
      <c r="B134" s="209" t="s">
        <v>55</v>
      </c>
      <c r="C134" s="210">
        <f t="shared" si="126"/>
        <v>4</v>
      </c>
      <c r="D134" s="211">
        <f t="shared" si="104"/>
        <v>21</v>
      </c>
      <c r="E134" s="220" t="s">
        <v>22</v>
      </c>
      <c r="F134" s="213">
        <f t="shared" si="127"/>
        <v>21</v>
      </c>
      <c r="G134" s="214"/>
      <c r="H134" s="220" t="s">
        <v>4</v>
      </c>
      <c r="I134" s="321">
        <v>130</v>
      </c>
      <c r="J134" s="228" t="s">
        <v>49</v>
      </c>
      <c r="K134" s="296">
        <f>1-(N134/AVERAGE($N$133:$N$134))</f>
        <v>-0.87313306450718176</v>
      </c>
      <c r="L134" s="331">
        <f>IF(K134&gt;-1,1-(O134/AVERAGE($O$133:$O$134)),1-(O134/AVERAGE($N$133:$N$134)))</f>
        <v>-0.87313306450718176</v>
      </c>
      <c r="M134" s="345">
        <f>T134*'MKI-waarden'!$D$27</f>
        <v>5.8280841839999997</v>
      </c>
      <c r="N134" s="345">
        <f t="shared" si="55"/>
        <v>0.11656168368</v>
      </c>
      <c r="O134" s="345">
        <f>IF(K134&lt;-1,(2*AVERAGE($N$133:$N$134)),N134)</f>
        <v>0.11656168368</v>
      </c>
      <c r="P134" s="216">
        <v>50</v>
      </c>
      <c r="Q134" s="203">
        <f>'Invoer en resultaat'!$H$9</f>
        <v>100</v>
      </c>
      <c r="R134" s="203">
        <f t="shared" si="56"/>
        <v>50</v>
      </c>
      <c r="S134" s="358">
        <f t="shared" si="129"/>
        <v>1</v>
      </c>
      <c r="T134" s="359">
        <v>5.0000000000000001E-3</v>
      </c>
      <c r="U134" s="217">
        <v>0</v>
      </c>
      <c r="V134" s="218"/>
      <c r="W134" s="229"/>
      <c r="X134" s="229"/>
      <c r="Y134" s="229" t="str">
        <f>'MKI-waarden'!$A$27</f>
        <v>Constructies in kg of m3, wapeningstaal</v>
      </c>
    </row>
    <row r="135" spans="1:25" s="205" customFormat="1" ht="14.25" customHeight="1" x14ac:dyDescent="0.2">
      <c r="A135" s="196">
        <f t="shared" si="65"/>
        <v>4</v>
      </c>
      <c r="B135" s="197" t="s">
        <v>55</v>
      </c>
      <c r="C135" s="198">
        <f t="shared" si="126"/>
        <v>4</v>
      </c>
      <c r="D135" s="199">
        <f t="shared" si="104"/>
        <v>22</v>
      </c>
      <c r="E135" s="175" t="s">
        <v>87</v>
      </c>
      <c r="F135" s="200">
        <f t="shared" si="127"/>
        <v>22</v>
      </c>
      <c r="G135" s="201"/>
      <c r="H135" s="175" t="s">
        <v>359</v>
      </c>
      <c r="I135" s="321">
        <v>131</v>
      </c>
      <c r="J135" s="202" t="s">
        <v>49</v>
      </c>
      <c r="K135" s="292">
        <f>1-(N135/AVERAGE($N$135:$N$139))</f>
        <v>0.33435115679172756</v>
      </c>
      <c r="L135" s="331">
        <f>IF(K135&gt;-1,1-(O135/AVERAGE($O$135:$O$139)),1-(O135/AVERAGE($N$135:$N$139)))</f>
        <v>0.33435115679172756</v>
      </c>
      <c r="M135" s="342">
        <f>'MKI-waarden'!D14</f>
        <v>0.27091999999999999</v>
      </c>
      <c r="N135" s="342">
        <f t="shared" si="55"/>
        <v>5.4184000000000003E-3</v>
      </c>
      <c r="O135" s="342">
        <f>IF(K135&lt;-1,(2*AVERAGE($N$135:$N$139)),N135)</f>
        <v>5.4184000000000003E-3</v>
      </c>
      <c r="P135" s="203">
        <v>50</v>
      </c>
      <c r="Q135" s="203">
        <f>'Invoer en resultaat'!$H$9</f>
        <v>100</v>
      </c>
      <c r="R135" s="203">
        <f t="shared" si="56"/>
        <v>50</v>
      </c>
      <c r="S135" s="357">
        <f t="shared" si="129"/>
        <v>1</v>
      </c>
      <c r="T135" s="354">
        <v>0.05</v>
      </c>
      <c r="U135" s="190">
        <v>0</v>
      </c>
      <c r="V135" s="140"/>
      <c r="W135" s="140"/>
      <c r="X135" s="140" t="s">
        <v>267</v>
      </c>
      <c r="Y135" s="140" t="str">
        <f>'MKI-waarden'!$A$14</f>
        <v>Kokosvezeldoek</v>
      </c>
    </row>
    <row r="136" spans="1:25" s="205" customFormat="1" ht="14.25" customHeight="1" x14ac:dyDescent="0.2">
      <c r="A136" s="196">
        <f t="shared" ref="A136:A138" si="130">C136</f>
        <v>4</v>
      </c>
      <c r="B136" s="197" t="s">
        <v>55</v>
      </c>
      <c r="C136" s="198">
        <f t="shared" ref="C136" si="131">IF(B136=B135,C135,C135+1)</f>
        <v>4</v>
      </c>
      <c r="D136" s="199">
        <f t="shared" ref="D136:D138" si="132">F136</f>
        <v>22</v>
      </c>
      <c r="E136" s="175" t="s">
        <v>87</v>
      </c>
      <c r="F136" s="200">
        <f t="shared" ref="F136" si="133">IF(E136=E135,F135,F135+1)</f>
        <v>22</v>
      </c>
      <c r="G136" s="201"/>
      <c r="H136" s="175" t="s">
        <v>368</v>
      </c>
      <c r="I136" s="321">
        <v>132</v>
      </c>
      <c r="J136" s="202" t="s">
        <v>49</v>
      </c>
      <c r="K136" s="292">
        <f>1-(N136/AVERAGE($N$135:$N$139))</f>
        <v>-2.3071870804042716E-2</v>
      </c>
      <c r="L136" s="331">
        <f>IF(K136&gt;-1,1-(O136/AVERAGE($O$135:$O$139)),1-(O136/AVERAGE($N$135:$N$139)))</f>
        <v>-2.3071870804042716E-2</v>
      </c>
      <c r="M136" s="342">
        <f>(T136*0.2)*'MKI-waarden'!D117+(0.8*M138)</f>
        <v>0.41639166666666677</v>
      </c>
      <c r="N136" s="342">
        <f t="shared" si="55"/>
        <v>8.3278333333333347E-3</v>
      </c>
      <c r="O136" s="342">
        <f>IF(K136&lt;-1,(2*AVERAGE($N$135:$N$139)),N136)</f>
        <v>8.3278333333333347E-3</v>
      </c>
      <c r="P136" s="203">
        <v>50</v>
      </c>
      <c r="Q136" s="203">
        <f>'Invoer en resultaat'!$H$9</f>
        <v>100</v>
      </c>
      <c r="R136" s="203">
        <f t="shared" si="56"/>
        <v>50</v>
      </c>
      <c r="S136" s="357">
        <f>S135</f>
        <v>1</v>
      </c>
      <c r="T136" s="354">
        <f>T135</f>
        <v>0.05</v>
      </c>
      <c r="U136" s="190"/>
      <c r="V136" s="140" t="s">
        <v>581</v>
      </c>
      <c r="W136" s="140"/>
      <c r="X136" s="184" t="s">
        <v>571</v>
      </c>
      <c r="Y136" s="140" t="s">
        <v>662</v>
      </c>
    </row>
    <row r="137" spans="1:25" s="205" customFormat="1" ht="14.25" customHeight="1" x14ac:dyDescent="0.2">
      <c r="A137" s="196">
        <f t="shared" ref="A137" si="134">C137</f>
        <v>4</v>
      </c>
      <c r="B137" s="197" t="s">
        <v>55</v>
      </c>
      <c r="C137" s="198">
        <f t="shared" ref="C137" si="135">IF(B137=B136,C136,C136+1)</f>
        <v>4</v>
      </c>
      <c r="D137" s="199">
        <f t="shared" ref="D137" si="136">F137</f>
        <v>22</v>
      </c>
      <c r="E137" s="175" t="s">
        <v>87</v>
      </c>
      <c r="F137" s="200">
        <f t="shared" ref="F137" si="137">IF(E137=E136,F136,F136+1)</f>
        <v>22</v>
      </c>
      <c r="G137" s="201"/>
      <c r="H137" s="175" t="s">
        <v>402</v>
      </c>
      <c r="I137" s="321">
        <v>133</v>
      </c>
      <c r="J137" s="202" t="s">
        <v>49</v>
      </c>
      <c r="K137" s="292">
        <f>1-(N137/AVERAGE($N$135:$N$139))</f>
        <v>0.29183225953818426</v>
      </c>
      <c r="L137" s="331">
        <f>IF(K137&gt;-1,1-(O137/AVERAGE($O$135:$O$139)),1-(O137/AVERAGE($N$135:$N$139)))</f>
        <v>0.29183225953818426</v>
      </c>
      <c r="M137" s="342">
        <f>T137/'MKI-waarden'!N110*'MKI-waarden'!D110</f>
        <v>0.57645050000000009</v>
      </c>
      <c r="N137" s="342">
        <f t="shared" si="55"/>
        <v>5.7645050000000005E-3</v>
      </c>
      <c r="O137" s="342">
        <f>IF(K137&lt;-1,(2*AVERAGE($N$135:$N$139)),N137)</f>
        <v>5.7645050000000005E-3</v>
      </c>
      <c r="P137" s="203">
        <v>100</v>
      </c>
      <c r="Q137" s="203">
        <f>'Invoer en resultaat'!$H$9</f>
        <v>100</v>
      </c>
      <c r="R137" s="203">
        <f t="shared" si="56"/>
        <v>0</v>
      </c>
      <c r="S137" s="357">
        <f t="shared" si="129"/>
        <v>0</v>
      </c>
      <c r="T137" s="354">
        <v>0.1</v>
      </c>
      <c r="U137" s="190"/>
      <c r="V137" s="333" t="s">
        <v>403</v>
      </c>
      <c r="W137" s="140"/>
      <c r="X137" s="140"/>
      <c r="Y137" s="140" t="str">
        <f>'MKI-waarden'!$A$110</f>
        <v xml:space="preserve">Verhardingen, Grind </v>
      </c>
    </row>
    <row r="138" spans="1:25" s="205" customFormat="1" ht="14.25" customHeight="1" x14ac:dyDescent="0.2">
      <c r="A138" s="196">
        <f t="shared" si="130"/>
        <v>4</v>
      </c>
      <c r="B138" s="197" t="s">
        <v>55</v>
      </c>
      <c r="C138" s="198">
        <f>IF(B138=B136,C136,C136+1)</f>
        <v>4</v>
      </c>
      <c r="D138" s="199">
        <f t="shared" si="132"/>
        <v>22</v>
      </c>
      <c r="E138" s="175" t="s">
        <v>87</v>
      </c>
      <c r="F138" s="200">
        <f>IF(E138=E136,F136,F136+1)</f>
        <v>22</v>
      </c>
      <c r="G138" s="201"/>
      <c r="H138" s="175" t="s">
        <v>361</v>
      </c>
      <c r="I138" s="321">
        <v>134</v>
      </c>
      <c r="J138" s="202" t="s">
        <v>49</v>
      </c>
      <c r="K138" s="292">
        <f>1-(N138/AVERAGE($N$135:$N$139))</f>
        <v>0.33661159136928409</v>
      </c>
      <c r="L138" s="331">
        <f>IF(K138&gt;-1,1-(O138/AVERAGE($O$135:$O$139)),1-(O138/AVERAGE($N$135:$N$139)))</f>
        <v>0.33661159136928409</v>
      </c>
      <c r="M138" s="342">
        <f>'MKI-waarden'!$D$90</f>
        <v>0.27</v>
      </c>
      <c r="N138" s="342">
        <f t="shared" si="55"/>
        <v>5.4000000000000003E-3</v>
      </c>
      <c r="O138" s="342">
        <f>IF(K138&lt;-1,(2*AVERAGE($N$135:$N$139)),N138)</f>
        <v>5.4000000000000003E-3</v>
      </c>
      <c r="P138" s="203">
        <v>50</v>
      </c>
      <c r="Q138" s="203">
        <f>'Invoer en resultaat'!$H$9</f>
        <v>100</v>
      </c>
      <c r="R138" s="203">
        <f t="shared" si="56"/>
        <v>50</v>
      </c>
      <c r="S138" s="357">
        <f>IF(Q138&lt;P138,0,ROUNDDOWN(Q138/P138-0.01,0))</f>
        <v>1</v>
      </c>
      <c r="T138" s="354">
        <v>3.0000000000000001E-3</v>
      </c>
      <c r="U138" s="190"/>
      <c r="V138" s="140"/>
      <c r="W138" s="140" t="s">
        <v>362</v>
      </c>
      <c r="X138" s="140" t="s">
        <v>267</v>
      </c>
      <c r="Y138" s="229" t="str">
        <f>'MKI-waarden'!$A$90</f>
        <v xml:space="preserve">Polypropyleen weefsel gewapend </v>
      </c>
    </row>
    <row r="139" spans="1:25" s="220" customFormat="1" ht="14.25" customHeight="1" x14ac:dyDescent="0.2">
      <c r="A139" s="208">
        <f t="shared" si="65"/>
        <v>4</v>
      </c>
      <c r="B139" s="209" t="s">
        <v>55</v>
      </c>
      <c r="C139" s="210">
        <f>IF(B139=B135,C135,C135+1)</f>
        <v>4</v>
      </c>
      <c r="D139" s="211">
        <f t="shared" si="104"/>
        <v>22</v>
      </c>
      <c r="E139" s="212" t="s">
        <v>87</v>
      </c>
      <c r="F139" s="213">
        <f>IF(E139=E135,F135,F135+1)</f>
        <v>22</v>
      </c>
      <c r="G139" s="214"/>
      <c r="H139" s="220" t="s">
        <v>360</v>
      </c>
      <c r="I139" s="321">
        <v>135</v>
      </c>
      <c r="J139" s="215" t="s">
        <v>49</v>
      </c>
      <c r="K139" s="296">
        <f>1-(N139/AVERAGE($N$135:$N$139))</f>
        <v>-0.93972313689515308</v>
      </c>
      <c r="L139" s="332">
        <f>IF(K139&gt;-1,1-(O139/AVERAGE($O$135:$O$139)),1-(O139/AVERAGE($N$135:$N$139)))</f>
        <v>-0.93972313689515308</v>
      </c>
      <c r="M139" s="345">
        <f>'MKI-waarden'!$D89</f>
        <v>0.78947000000000012</v>
      </c>
      <c r="N139" s="345">
        <f t="shared" si="55"/>
        <v>1.5789400000000002E-2</v>
      </c>
      <c r="O139" s="345">
        <f>IF(K139&lt;-1,(2*AVERAGE($N$135:$N$139)),N139)</f>
        <v>1.5789400000000002E-2</v>
      </c>
      <c r="P139" s="216">
        <v>50</v>
      </c>
      <c r="Q139" s="216">
        <f>'Invoer en resultaat'!$H$9</f>
        <v>100</v>
      </c>
      <c r="R139" s="216">
        <f t="shared" si="56"/>
        <v>50</v>
      </c>
      <c r="S139" s="358">
        <f>IF(Q139&lt;P139,0,ROUNDDOWN(Q139/P139-0.01,0))</f>
        <v>1</v>
      </c>
      <c r="T139" s="359">
        <v>2E-3</v>
      </c>
      <c r="U139" s="217">
        <v>0</v>
      </c>
      <c r="W139" s="229" t="s">
        <v>363</v>
      </c>
      <c r="X139" s="229"/>
      <c r="Y139" s="229" t="str">
        <f>'MKI-waarden'!A$89</f>
        <v>Polyester vlies</v>
      </c>
    </row>
    <row r="140" spans="1:25" s="205" customFormat="1" ht="14.25" customHeight="1" x14ac:dyDescent="0.2">
      <c r="A140" s="196">
        <f t="shared" si="65"/>
        <v>5</v>
      </c>
      <c r="B140" s="197" t="s">
        <v>129</v>
      </c>
      <c r="C140" s="198">
        <f t="shared" si="126"/>
        <v>5</v>
      </c>
      <c r="D140" s="199">
        <f t="shared" si="104"/>
        <v>23</v>
      </c>
      <c r="E140" s="231" t="s">
        <v>62</v>
      </c>
      <c r="F140" s="200">
        <f t="shared" ref="F140:F178" si="138">IF(E140=E139,F139,F139+1)</f>
        <v>23</v>
      </c>
      <c r="G140" s="201"/>
      <c r="H140" s="231" t="s">
        <v>90</v>
      </c>
      <c r="I140" s="321">
        <v>136</v>
      </c>
      <c r="J140" s="221" t="s">
        <v>50</v>
      </c>
      <c r="K140" s="292">
        <f>$K$55</f>
        <v>0.52190882455171894</v>
      </c>
      <c r="L140" s="331">
        <f>L$55</f>
        <v>0.26882353194751751</v>
      </c>
      <c r="M140" s="342">
        <f>M$55</f>
        <v>1.4737034161490683</v>
      </c>
      <c r="N140" s="342">
        <f t="shared" si="55"/>
        <v>2.9474068322981366E-2</v>
      </c>
      <c r="O140" s="342">
        <f>O$55</f>
        <v>2.9474068322981366E-2</v>
      </c>
      <c r="P140" s="203">
        <f>$P$55</f>
        <v>50</v>
      </c>
      <c r="Q140" s="203">
        <f>'Invoer en resultaat'!$H$9</f>
        <v>100</v>
      </c>
      <c r="R140" s="203">
        <f t="shared" si="56"/>
        <v>50</v>
      </c>
      <c r="S140" s="357">
        <f>$S$55</f>
        <v>1</v>
      </c>
      <c r="T140" s="354">
        <f>$T$55</f>
        <v>0</v>
      </c>
      <c r="U140" s="190">
        <f>$U$55</f>
        <v>0.15</v>
      </c>
      <c r="V140" s="174">
        <f>$V$55</f>
        <v>0</v>
      </c>
      <c r="W140" s="140">
        <f>$W$55</f>
        <v>0</v>
      </c>
      <c r="X140" s="140">
        <f>$X$55</f>
        <v>0</v>
      </c>
      <c r="Y140" s="140" t="str">
        <f>$Y$55</f>
        <v>Houten lariks paal met betonopzetter</v>
      </c>
    </row>
    <row r="141" spans="1:25" s="205" customFormat="1" ht="14.25" customHeight="1" x14ac:dyDescent="0.2">
      <c r="A141" s="196">
        <f t="shared" si="65"/>
        <v>5</v>
      </c>
      <c r="B141" s="197" t="s">
        <v>129</v>
      </c>
      <c r="C141" s="198">
        <f t="shared" si="126"/>
        <v>5</v>
      </c>
      <c r="D141" s="199">
        <f t="shared" si="104"/>
        <v>23</v>
      </c>
      <c r="E141" s="231" t="s">
        <v>62</v>
      </c>
      <c r="F141" s="200">
        <f t="shared" si="138"/>
        <v>23</v>
      </c>
      <c r="G141" s="201"/>
      <c r="H141" s="231" t="s">
        <v>4</v>
      </c>
      <c r="I141" s="321">
        <v>137</v>
      </c>
      <c r="J141" s="221" t="s">
        <v>50</v>
      </c>
      <c r="K141" s="292">
        <f>$K$56</f>
        <v>0.10571095814782272</v>
      </c>
      <c r="L141" s="331">
        <f>L$56</f>
        <v>-0.36769540334310014</v>
      </c>
      <c r="M141" s="342">
        <f>M$56</f>
        <v>5.5132446850393713</v>
      </c>
      <c r="N141" s="342">
        <f t="shared" si="55"/>
        <v>5.5132446850393715E-2</v>
      </c>
      <c r="O141" s="342">
        <f>O$56</f>
        <v>5.5132446850393715E-2</v>
      </c>
      <c r="P141" s="203">
        <f>$P$56</f>
        <v>100</v>
      </c>
      <c r="Q141" s="203">
        <f>'Invoer en resultaat'!$H$9</f>
        <v>100</v>
      </c>
      <c r="R141" s="203">
        <f t="shared" si="56"/>
        <v>0</v>
      </c>
      <c r="S141" s="357">
        <f>$S$56</f>
        <v>0</v>
      </c>
      <c r="T141" s="354">
        <f>$T$56</f>
        <v>0.01</v>
      </c>
      <c r="U141" s="190">
        <f>$U$56</f>
        <v>0.15</v>
      </c>
      <c r="V141" s="174">
        <f>$V$56</f>
        <v>0</v>
      </c>
      <c r="W141" s="140" t="str">
        <f>$W$56</f>
        <v>Holle buis met diameter: 150 mm</v>
      </c>
      <c r="X141" s="140">
        <f>$X$56</f>
        <v>0</v>
      </c>
      <c r="Y141" s="140" t="str">
        <f>$Y$56</f>
        <v>Buispaal, Staal</v>
      </c>
    </row>
    <row r="142" spans="1:25" s="205" customFormat="1" ht="14.25" customHeight="1" x14ac:dyDescent="0.2">
      <c r="A142" s="196">
        <f t="shared" si="65"/>
        <v>5</v>
      </c>
      <c r="B142" s="197" t="s">
        <v>129</v>
      </c>
      <c r="C142" s="198">
        <f t="shared" si="126"/>
        <v>5</v>
      </c>
      <c r="D142" s="199">
        <f t="shared" si="104"/>
        <v>23</v>
      </c>
      <c r="E142" s="231" t="s">
        <v>62</v>
      </c>
      <c r="F142" s="200">
        <f t="shared" si="138"/>
        <v>23</v>
      </c>
      <c r="G142" s="201"/>
      <c r="H142" s="231" t="s">
        <v>59</v>
      </c>
      <c r="I142" s="321">
        <v>138</v>
      </c>
      <c r="J142" s="221" t="s">
        <v>50</v>
      </c>
      <c r="K142" s="292">
        <f>$K$57</f>
        <v>-3.0768061090229342</v>
      </c>
      <c r="L142" s="331">
        <f>L$57</f>
        <v>-1</v>
      </c>
      <c r="M142" s="342">
        <f>M$57</f>
        <v>25.133294226613152</v>
      </c>
      <c r="N142" s="342">
        <f t="shared" si="55"/>
        <v>0.25133294226613151</v>
      </c>
      <c r="O142" s="342">
        <f>O$57</f>
        <v>0.12329894311621657</v>
      </c>
      <c r="P142" s="203">
        <f>$P$57</f>
        <v>100</v>
      </c>
      <c r="Q142" s="203">
        <f>'Invoer en resultaat'!$H$9</f>
        <v>100</v>
      </c>
      <c r="R142" s="203">
        <f t="shared" si="56"/>
        <v>0</v>
      </c>
      <c r="S142" s="357">
        <f>$S$57</f>
        <v>0</v>
      </c>
      <c r="T142" s="354">
        <f>$T$57</f>
        <v>0.01</v>
      </c>
      <c r="U142" s="190">
        <f>$U$57</f>
        <v>0.15</v>
      </c>
      <c r="V142" s="174">
        <f>$V$57</f>
        <v>0</v>
      </c>
      <c r="W142" s="140">
        <f>$W$57</f>
        <v>0</v>
      </c>
      <c r="X142" s="140">
        <f>$X$57</f>
        <v>0</v>
      </c>
      <c r="Y142" s="140" t="str">
        <f>$Y$57</f>
        <v>Funderingspaal met C20/25 0% betongranulaat Lafgarge Holcim Limburg</v>
      </c>
    </row>
    <row r="143" spans="1:25" s="205" customFormat="1" ht="14.25" customHeight="1" x14ac:dyDescent="0.2">
      <c r="A143" s="196">
        <f t="shared" ref="A143" si="139">C143</f>
        <v>5</v>
      </c>
      <c r="B143" s="197" t="s">
        <v>129</v>
      </c>
      <c r="C143" s="198">
        <f t="shared" ref="C143" si="140">IF(B143=B142,C142,C142+1)</f>
        <v>5</v>
      </c>
      <c r="D143" s="199">
        <f t="shared" ref="D143" si="141">F143</f>
        <v>23</v>
      </c>
      <c r="E143" s="231" t="s">
        <v>62</v>
      </c>
      <c r="F143" s="200">
        <f t="shared" ref="F143" si="142">IF(E143=E142,F142,F142+1)</f>
        <v>23</v>
      </c>
      <c r="G143" s="201"/>
      <c r="H143" s="231" t="s">
        <v>357</v>
      </c>
      <c r="I143" s="321">
        <v>139</v>
      </c>
      <c r="J143" s="221" t="s">
        <v>50</v>
      </c>
      <c r="K143" s="292">
        <f>1-(N143/AVERAGE($N$55:$N$60))</f>
        <v>0.78398881121688002</v>
      </c>
      <c r="L143" s="331">
        <f>IF(K143&gt;-1,1-(O143/AVERAGE($O$55:$O$60)),1-(O143/AVERAGE($N$55:$N$60)))</f>
        <v>0.66963979637113058</v>
      </c>
      <c r="M143" s="342">
        <f>M$58</f>
        <v>1.3316975639118114</v>
      </c>
      <c r="N143" s="342">
        <f t="shared" si="55"/>
        <v>1.3316975639118114E-2</v>
      </c>
      <c r="O143" s="342">
        <f t="shared" ref="O143:U143" si="143">O$58</f>
        <v>1.3316975639118114E-2</v>
      </c>
      <c r="P143" s="203">
        <f t="shared" si="143"/>
        <v>100</v>
      </c>
      <c r="Q143" s="203">
        <f>'Invoer en resultaat'!$H$9</f>
        <v>100</v>
      </c>
      <c r="R143" s="203">
        <f t="shared" si="56"/>
        <v>0</v>
      </c>
      <c r="S143" s="357">
        <f t="shared" si="143"/>
        <v>0</v>
      </c>
      <c r="T143" s="354">
        <f t="shared" si="143"/>
        <v>0</v>
      </c>
      <c r="U143" s="190">
        <f t="shared" si="143"/>
        <v>0.2</v>
      </c>
      <c r="V143" s="174"/>
      <c r="W143" s="140" t="str">
        <f>$W$58</f>
        <v>dikte is diameter</v>
      </c>
      <c r="X143" s="140">
        <f>$X$58</f>
        <v>0</v>
      </c>
      <c r="Y143" s="140" t="str">
        <f>$Y$58</f>
        <v>Betonmortel C20/25 CEM I 30% granulaat – in situ voor GWW</v>
      </c>
    </row>
    <row r="144" spans="1:25" s="205" customFormat="1" ht="14.25" customHeight="1" x14ac:dyDescent="0.2">
      <c r="A144" s="196">
        <f t="shared" si="65"/>
        <v>5</v>
      </c>
      <c r="B144" s="197" t="s">
        <v>129</v>
      </c>
      <c r="C144" s="198">
        <f>IF(B144=B142,C142,C142+1)</f>
        <v>5</v>
      </c>
      <c r="D144" s="199">
        <f t="shared" si="104"/>
        <v>23</v>
      </c>
      <c r="E144" s="231" t="s">
        <v>62</v>
      </c>
      <c r="F144" s="200">
        <f>IF(E144=E142,F142,F142+1)</f>
        <v>23</v>
      </c>
      <c r="G144" s="201"/>
      <c r="H144" s="231" t="s">
        <v>274</v>
      </c>
      <c r="I144" s="321">
        <v>140</v>
      </c>
      <c r="J144" s="221" t="s">
        <v>50</v>
      </c>
      <c r="K144" s="292">
        <f>$K$59</f>
        <v>0.87947110543834461</v>
      </c>
      <c r="L144" s="331">
        <f>L$59</f>
        <v>0.81566718661722137</v>
      </c>
      <c r="M144" s="342">
        <f>M$59</f>
        <v>0.74305426572090061</v>
      </c>
      <c r="N144" s="342">
        <f t="shared" si="55"/>
        <v>7.430542657209006E-3</v>
      </c>
      <c r="O144" s="342">
        <f>O$59</f>
        <v>7.430542657209006E-3</v>
      </c>
      <c r="P144" s="203">
        <f>$P$59</f>
        <v>100</v>
      </c>
      <c r="Q144" s="203">
        <f>'Invoer en resultaat'!$H$9</f>
        <v>100</v>
      </c>
      <c r="R144" s="203">
        <f t="shared" si="56"/>
        <v>0</v>
      </c>
      <c r="S144" s="357">
        <f>$S$59</f>
        <v>0</v>
      </c>
      <c r="T144" s="354">
        <f>$T$59</f>
        <v>0</v>
      </c>
      <c r="U144" s="190">
        <f>$U$59</f>
        <v>0.15</v>
      </c>
      <c r="V144" s="174">
        <f>$V$59</f>
        <v>0</v>
      </c>
      <c r="W144" s="140" t="str">
        <f>$W$59</f>
        <v>dikte is diameter</v>
      </c>
      <c r="X144" s="140">
        <f>$X$59</f>
        <v>0</v>
      </c>
      <c r="Y144" s="140" t="str">
        <f>$Y$59</f>
        <v>Betonmortel C20/25 (CEM I)</v>
      </c>
    </row>
    <row r="145" spans="1:25" s="220" customFormat="1" ht="14.25" customHeight="1" x14ac:dyDescent="0.2">
      <c r="A145" s="208">
        <f t="shared" si="65"/>
        <v>5</v>
      </c>
      <c r="B145" s="209" t="s">
        <v>129</v>
      </c>
      <c r="C145" s="210">
        <f t="shared" si="126"/>
        <v>5</v>
      </c>
      <c r="D145" s="211">
        <f t="shared" si="104"/>
        <v>23</v>
      </c>
      <c r="E145" s="232" t="s">
        <v>62</v>
      </c>
      <c r="F145" s="213">
        <f t="shared" si="138"/>
        <v>23</v>
      </c>
      <c r="G145" s="214"/>
      <c r="H145" s="232" t="s">
        <v>92</v>
      </c>
      <c r="I145" s="321">
        <v>141</v>
      </c>
      <c r="J145" s="228" t="s">
        <v>50</v>
      </c>
      <c r="K145" s="296">
        <f>$K$60</f>
        <v>0.7857264096681682</v>
      </c>
      <c r="L145" s="331">
        <f>L$60</f>
        <v>0.67229722065283815</v>
      </c>
      <c r="M145" s="345">
        <f>M$60</f>
        <v>1.3209853612816012</v>
      </c>
      <c r="N145" s="345">
        <f t="shared" si="55"/>
        <v>1.3209853612816012E-2</v>
      </c>
      <c r="O145" s="345">
        <f>O$60</f>
        <v>1.3209853612816012E-2</v>
      </c>
      <c r="P145" s="216">
        <f>$P$60</f>
        <v>100</v>
      </c>
      <c r="Q145" s="203">
        <f>'Invoer en resultaat'!$H$9</f>
        <v>100</v>
      </c>
      <c r="R145" s="203">
        <f t="shared" si="56"/>
        <v>0</v>
      </c>
      <c r="S145" s="358">
        <f>$S$60</f>
        <v>0</v>
      </c>
      <c r="T145" s="359">
        <f>$T$60</f>
        <v>0</v>
      </c>
      <c r="U145" s="217">
        <f>$U$60</f>
        <v>0.2</v>
      </c>
      <c r="V145" s="218">
        <f>$V$60</f>
        <v>0</v>
      </c>
      <c r="W145" s="140" t="str">
        <f>$W$60</f>
        <v>dikte is diameter</v>
      </c>
      <c r="X145" s="140">
        <f>$X$60</f>
        <v>0</v>
      </c>
      <c r="Y145" s="140" t="str">
        <f>$Y$60</f>
        <v>Betonmortel C20/25 (CEM I)</v>
      </c>
    </row>
    <row r="146" spans="1:25" s="205" customFormat="1" ht="14.25" customHeight="1" x14ac:dyDescent="0.2">
      <c r="A146" s="196">
        <f t="shared" si="65"/>
        <v>5</v>
      </c>
      <c r="B146" s="197" t="s">
        <v>129</v>
      </c>
      <c r="C146" s="198">
        <f t="shared" si="126"/>
        <v>5</v>
      </c>
      <c r="D146" s="199">
        <f t="shared" si="104"/>
        <v>24</v>
      </c>
      <c r="E146" s="231" t="s">
        <v>116</v>
      </c>
      <c r="F146" s="200">
        <f t="shared" si="138"/>
        <v>24</v>
      </c>
      <c r="G146" s="201"/>
      <c r="H146" s="231" t="s">
        <v>12</v>
      </c>
      <c r="I146" s="321">
        <v>142</v>
      </c>
      <c r="J146" s="202" t="s">
        <v>49</v>
      </c>
      <c r="K146" s="292">
        <f t="shared" ref="K146:M149" si="144">K79</f>
        <v>0.95047361784117068</v>
      </c>
      <c r="L146" s="331">
        <f t="shared" si="144"/>
        <v>0.94750360175384696</v>
      </c>
      <c r="M146" s="342">
        <f t="shared" si="144"/>
        <v>0.08</v>
      </c>
      <c r="N146" s="342">
        <f t="shared" si="55"/>
        <v>8.0000000000000002E-3</v>
      </c>
      <c r="O146" s="342">
        <f t="shared" ref="O146:P149" si="145">O79</f>
        <v>8.0000000000000002E-3</v>
      </c>
      <c r="P146" s="203">
        <f t="shared" si="145"/>
        <v>10</v>
      </c>
      <c r="Q146" s="203">
        <f>'Invoer en resultaat'!$H$9</f>
        <v>100</v>
      </c>
      <c r="R146" s="203">
        <f t="shared" si="56"/>
        <v>90</v>
      </c>
      <c r="S146" s="357">
        <f t="shared" ref="S146:U149" si="146">S79</f>
        <v>9</v>
      </c>
      <c r="T146" s="354">
        <f t="shared" si="146"/>
        <v>0.08</v>
      </c>
      <c r="U146" s="190">
        <f t="shared" si="146"/>
        <v>0</v>
      </c>
      <c r="W146" s="140" t="s">
        <v>167</v>
      </c>
      <c r="X146" s="140"/>
      <c r="Y146" s="140" t="str">
        <f>'MKI-waarden'!$A$33</f>
        <v>Damwanden, Europees naaldhout, damwandplanken</v>
      </c>
    </row>
    <row r="147" spans="1:25" s="205" customFormat="1" ht="14.25" customHeight="1" x14ac:dyDescent="0.2">
      <c r="A147" s="196">
        <f t="shared" si="65"/>
        <v>5</v>
      </c>
      <c r="B147" s="197" t="s">
        <v>129</v>
      </c>
      <c r="C147" s="198">
        <f t="shared" si="126"/>
        <v>5</v>
      </c>
      <c r="D147" s="199">
        <f t="shared" si="104"/>
        <v>24</v>
      </c>
      <c r="E147" s="231" t="s">
        <v>116</v>
      </c>
      <c r="F147" s="200">
        <f t="shared" si="138"/>
        <v>24</v>
      </c>
      <c r="G147" s="201"/>
      <c r="H147" s="231" t="s">
        <v>13</v>
      </c>
      <c r="I147" s="321">
        <v>143</v>
      </c>
      <c r="J147" s="202" t="s">
        <v>49</v>
      </c>
      <c r="K147" s="292">
        <f t="shared" si="144"/>
        <v>-0.60692886832686277</v>
      </c>
      <c r="L147" s="331">
        <f t="shared" si="144"/>
        <v>-0.70329376279482925</v>
      </c>
      <c r="M147" s="342">
        <f t="shared" si="144"/>
        <v>5.1913466666666661</v>
      </c>
      <c r="N147" s="342">
        <f t="shared" si="55"/>
        <v>0.25956733333333332</v>
      </c>
      <c r="O147" s="342">
        <f t="shared" si="145"/>
        <v>0.25956733333333332</v>
      </c>
      <c r="P147" s="203">
        <f t="shared" si="145"/>
        <v>20</v>
      </c>
      <c r="Q147" s="203">
        <f>'Invoer en resultaat'!$H$9</f>
        <v>100</v>
      </c>
      <c r="R147" s="203">
        <f t="shared" si="56"/>
        <v>80</v>
      </c>
      <c r="S147" s="357">
        <f t="shared" si="146"/>
        <v>4</v>
      </c>
      <c r="T147" s="354">
        <f t="shared" si="146"/>
        <v>0.08</v>
      </c>
      <c r="U147" s="190">
        <f t="shared" si="146"/>
        <v>0</v>
      </c>
      <c r="W147" s="140" t="s">
        <v>167</v>
      </c>
      <c r="X147" s="140"/>
      <c r="Y147" s="140" t="str">
        <f>'MKI-waarden'!$A$29</f>
        <v>Damwand, tropisch hardhout, damwandplanken</v>
      </c>
    </row>
    <row r="148" spans="1:25" s="205" customFormat="1" ht="14.25" customHeight="1" x14ac:dyDescent="0.2">
      <c r="A148" s="196">
        <f>C148</f>
        <v>5</v>
      </c>
      <c r="B148" s="197" t="s">
        <v>129</v>
      </c>
      <c r="C148" s="198">
        <f t="shared" si="126"/>
        <v>5</v>
      </c>
      <c r="D148" s="199">
        <f t="shared" si="104"/>
        <v>24</v>
      </c>
      <c r="E148" s="231" t="s">
        <v>116</v>
      </c>
      <c r="F148" s="200">
        <f t="shared" si="138"/>
        <v>24</v>
      </c>
      <c r="G148" s="201"/>
      <c r="H148" s="231" t="s">
        <v>106</v>
      </c>
      <c r="I148" s="321">
        <v>144</v>
      </c>
      <c r="J148" s="202" t="s">
        <v>49</v>
      </c>
      <c r="K148" s="292">
        <f t="shared" si="144"/>
        <v>-1.325319359536965</v>
      </c>
      <c r="L148" s="331">
        <f t="shared" si="144"/>
        <v>-1</v>
      </c>
      <c r="M148" s="342">
        <f t="shared" si="144"/>
        <v>18.780449999999998</v>
      </c>
      <c r="N148" s="342">
        <f t="shared" si="55"/>
        <v>0.37560899999999997</v>
      </c>
      <c r="O148" s="342">
        <f t="shared" si="145"/>
        <v>0.32306014093031421</v>
      </c>
      <c r="P148" s="203">
        <f t="shared" si="145"/>
        <v>50</v>
      </c>
      <c r="Q148" s="203">
        <f>'Invoer en resultaat'!$H$9</f>
        <v>100</v>
      </c>
      <c r="R148" s="203">
        <f t="shared" si="56"/>
        <v>50</v>
      </c>
      <c r="S148" s="357">
        <f t="shared" si="146"/>
        <v>1</v>
      </c>
      <c r="T148" s="354">
        <f t="shared" si="146"/>
        <v>0.03</v>
      </c>
      <c r="U148" s="190">
        <f t="shared" si="146"/>
        <v>0</v>
      </c>
      <c r="W148" s="140" t="s">
        <v>167</v>
      </c>
      <c r="X148" s="140"/>
      <c r="Y148" s="140" t="str">
        <f>'MKI-waarden'!$A$42</f>
        <v>Damwand PCV nieuw</v>
      </c>
    </row>
    <row r="149" spans="1:25" s="205" customFormat="1" ht="14.25" customHeight="1" x14ac:dyDescent="0.2">
      <c r="A149" s="196">
        <f t="shared" si="65"/>
        <v>5</v>
      </c>
      <c r="B149" s="197" t="s">
        <v>129</v>
      </c>
      <c r="C149" s="198">
        <f t="shared" si="126"/>
        <v>5</v>
      </c>
      <c r="D149" s="199">
        <f t="shared" si="104"/>
        <v>24</v>
      </c>
      <c r="E149" s="231" t="s">
        <v>116</v>
      </c>
      <c r="F149" s="200">
        <f t="shared" si="138"/>
        <v>24</v>
      </c>
      <c r="G149" s="201"/>
      <c r="H149" s="231" t="s">
        <v>660</v>
      </c>
      <c r="I149" s="321">
        <v>145</v>
      </c>
      <c r="J149" s="202" t="s">
        <v>49</v>
      </c>
      <c r="K149" s="292">
        <f t="shared" si="144"/>
        <v>0.856419857595623</v>
      </c>
      <c r="L149" s="331">
        <f t="shared" si="144"/>
        <v>0.8478095914269036</v>
      </c>
      <c r="M149" s="342">
        <f t="shared" si="144"/>
        <v>1.6234757363983416</v>
      </c>
      <c r="N149" s="342">
        <f t="shared" si="55"/>
        <v>2.3192510519976308E-2</v>
      </c>
      <c r="O149" s="342">
        <f t="shared" si="145"/>
        <v>2.3192510519976308E-2</v>
      </c>
      <c r="P149" s="203">
        <f t="shared" si="145"/>
        <v>70</v>
      </c>
      <c r="Q149" s="203">
        <f>'Invoer en resultaat'!$H$9</f>
        <v>100</v>
      </c>
      <c r="R149" s="203">
        <f t="shared" si="56"/>
        <v>30</v>
      </c>
      <c r="S149" s="357">
        <f t="shared" si="146"/>
        <v>1</v>
      </c>
      <c r="T149" s="354">
        <f t="shared" si="146"/>
        <v>5.0000000000000001E-3</v>
      </c>
      <c r="U149" s="190">
        <f t="shared" si="146"/>
        <v>0</v>
      </c>
      <c r="W149" s="140" t="s">
        <v>167</v>
      </c>
      <c r="X149" s="140"/>
      <c r="Y149" s="140" t="str">
        <f>'MKI-waarden'!$A$38</f>
        <v>Damwand, kunststof vezelversterkt</v>
      </c>
    </row>
    <row r="150" spans="1:25" s="205" customFormat="1" ht="14.25" customHeight="1" x14ac:dyDescent="0.2">
      <c r="A150" s="196">
        <f t="shared" ref="A150" si="147">C150</f>
        <v>5</v>
      </c>
      <c r="B150" s="197" t="s">
        <v>129</v>
      </c>
      <c r="C150" s="198">
        <f t="shared" ref="C150" si="148">IF(B150=B149,C149,C149+1)</f>
        <v>5</v>
      </c>
      <c r="D150" s="199">
        <f t="shared" ref="D150" si="149">F150</f>
        <v>24</v>
      </c>
      <c r="E150" s="231" t="s">
        <v>116</v>
      </c>
      <c r="F150" s="200">
        <f t="shared" ref="F150" si="150">IF(E150=E149,F149,F149+1)</f>
        <v>24</v>
      </c>
      <c r="G150" s="201"/>
      <c r="H150" s="231" t="str">
        <f>H$83</f>
        <v>glasvezel kunststof (gvk/PET), biobased hars</v>
      </c>
      <c r="I150" s="321">
        <v>146</v>
      </c>
      <c r="J150" s="202" t="str">
        <f t="shared" ref="J150:T150" si="151">J$83</f>
        <v>m2</v>
      </c>
      <c r="K150" s="292">
        <f t="shared" si="151"/>
        <v>0.87786873755604022</v>
      </c>
      <c r="L150" s="331">
        <f t="shared" si="151"/>
        <v>0.87054472561710117</v>
      </c>
      <c r="M150" s="342">
        <f t="shared" si="151"/>
        <v>1.3809509999999998</v>
      </c>
      <c r="N150" s="342">
        <f t="shared" si="151"/>
        <v>1.9727871428571426E-2</v>
      </c>
      <c r="O150" s="342">
        <f t="shared" si="151"/>
        <v>1.9727871428571426E-2</v>
      </c>
      <c r="P150" s="203">
        <f t="shared" si="151"/>
        <v>70</v>
      </c>
      <c r="Q150" s="203">
        <f t="shared" si="151"/>
        <v>100</v>
      </c>
      <c r="R150" s="204">
        <f t="shared" si="151"/>
        <v>30</v>
      </c>
      <c r="S150" s="354">
        <f t="shared" si="151"/>
        <v>1</v>
      </c>
      <c r="T150" s="354">
        <f t="shared" si="151"/>
        <v>5.0000000000000001E-3</v>
      </c>
      <c r="W150" s="140" t="s">
        <v>167</v>
      </c>
      <c r="X150" s="140"/>
      <c r="Y150" s="140" t="str">
        <f>'MKI-waarden'!$A$128</f>
        <v>GVK, glasvezels in polyester, biobased hars</v>
      </c>
    </row>
    <row r="151" spans="1:25" s="205" customFormat="1" ht="14.25" customHeight="1" x14ac:dyDescent="0.2">
      <c r="A151" s="196">
        <f t="shared" ref="A151" si="152">C151</f>
        <v>5</v>
      </c>
      <c r="B151" s="197" t="s">
        <v>129</v>
      </c>
      <c r="C151" s="198">
        <f t="shared" ref="C151" si="153">IF(B151=B149,C149,C149+1)</f>
        <v>5</v>
      </c>
      <c r="D151" s="199">
        <f t="shared" ref="D151" si="154">F151</f>
        <v>24</v>
      </c>
      <c r="E151" s="231" t="s">
        <v>116</v>
      </c>
      <c r="F151" s="200">
        <f t="shared" ref="F151" si="155">IF(E151=E149,F149,F149+1)</f>
        <v>24</v>
      </c>
      <c r="G151" s="201"/>
      <c r="H151" s="313" t="str">
        <f>H$84</f>
        <v>Smart Vislift (gerecycled GVK kunststof)</v>
      </c>
      <c r="I151" s="321">
        <v>147</v>
      </c>
      <c r="J151" s="202" t="str">
        <f t="shared" ref="J151:U151" si="156">J$84</f>
        <v>m2</v>
      </c>
      <c r="K151" s="292">
        <f t="shared" si="156"/>
        <v>-6.6326223371232507E-2</v>
      </c>
      <c r="L151" s="331">
        <f t="shared" si="156"/>
        <v>-0.13027206192635421</v>
      </c>
      <c r="M151" s="342">
        <f t="shared" si="156"/>
        <v>8.612187500000001</v>
      </c>
      <c r="N151" s="342">
        <f t="shared" si="156"/>
        <v>0.17224375000000003</v>
      </c>
      <c r="O151" s="342">
        <f t="shared" si="156"/>
        <v>0.17224375000000003</v>
      </c>
      <c r="P151" s="203">
        <f t="shared" si="156"/>
        <v>50</v>
      </c>
      <c r="Q151" s="203">
        <f t="shared" si="156"/>
        <v>100</v>
      </c>
      <c r="R151" s="204">
        <f t="shared" si="156"/>
        <v>50</v>
      </c>
      <c r="S151" s="354">
        <f t="shared" si="156"/>
        <v>1</v>
      </c>
      <c r="T151" s="354">
        <f t="shared" si="156"/>
        <v>5.0000000000000001E-3</v>
      </c>
      <c r="U151" s="333">
        <f t="shared" si="156"/>
        <v>0</v>
      </c>
      <c r="V151" s="333" t="s">
        <v>167</v>
      </c>
      <c r="W151" s="140" t="s">
        <v>167</v>
      </c>
      <c r="X151" s="184" t="s">
        <v>571</v>
      </c>
      <c r="Y151" s="140" t="str">
        <f>'MKI-waarden'!$A$38</f>
        <v>Damwand, kunststof vezelversterkt</v>
      </c>
    </row>
    <row r="152" spans="1:25" s="205" customFormat="1" ht="14.25" customHeight="1" x14ac:dyDescent="0.2">
      <c r="A152" s="196">
        <f t="shared" si="65"/>
        <v>5</v>
      </c>
      <c r="B152" s="197" t="s">
        <v>129</v>
      </c>
      <c r="C152" s="198">
        <f>IF(B152=B149,C149,C149+1)</f>
        <v>5</v>
      </c>
      <c r="D152" s="199">
        <f t="shared" si="104"/>
        <v>24</v>
      </c>
      <c r="E152" s="231" t="s">
        <v>116</v>
      </c>
      <c r="F152" s="200">
        <f>IF(E152=E149,F149,F149+1)</f>
        <v>24</v>
      </c>
      <c r="G152" s="201"/>
      <c r="H152" s="231" t="s">
        <v>4</v>
      </c>
      <c r="I152" s="321">
        <v>148</v>
      </c>
      <c r="J152" s="202" t="s">
        <v>49</v>
      </c>
      <c r="K152" s="292">
        <f>K85</f>
        <v>-1.1272855713228629</v>
      </c>
      <c r="L152" s="331">
        <f>L85</f>
        <v>-1</v>
      </c>
      <c r="M152" s="342">
        <f>M85</f>
        <v>10.308617647058822</v>
      </c>
      <c r="N152" s="342">
        <f t="shared" si="55"/>
        <v>0.34362058823529407</v>
      </c>
      <c r="O152" s="342">
        <f>O85</f>
        <v>0.32306014093031421</v>
      </c>
      <c r="P152" s="203">
        <f>P85</f>
        <v>30</v>
      </c>
      <c r="Q152" s="203">
        <f>'Invoer en resultaat'!$H$9</f>
        <v>100</v>
      </c>
      <c r="R152" s="203">
        <f t="shared" si="56"/>
        <v>70</v>
      </c>
      <c r="S152" s="357">
        <f>S85</f>
        <v>3</v>
      </c>
      <c r="T152" s="354">
        <f>T85</f>
        <v>5.0000000000000001E-3</v>
      </c>
      <c r="U152" s="190">
        <f>U85</f>
        <v>0</v>
      </c>
      <c r="W152" s="140" t="s">
        <v>167</v>
      </c>
      <c r="X152" s="140"/>
      <c r="Y152" s="140" t="str">
        <f>'MKI-waarden'!$A$39</f>
        <v>Damwand Staal, constructiestaal</v>
      </c>
    </row>
    <row r="153" spans="1:25" s="205" customFormat="1" ht="14.25" customHeight="1" x14ac:dyDescent="0.2">
      <c r="A153" s="196">
        <f t="shared" si="65"/>
        <v>5</v>
      </c>
      <c r="B153" s="197" t="s">
        <v>129</v>
      </c>
      <c r="C153" s="198">
        <f t="shared" si="126"/>
        <v>5</v>
      </c>
      <c r="D153" s="199">
        <f t="shared" si="104"/>
        <v>24</v>
      </c>
      <c r="E153" s="231" t="s">
        <v>116</v>
      </c>
      <c r="F153" s="200">
        <f t="shared" si="138"/>
        <v>24</v>
      </c>
      <c r="G153" s="201"/>
      <c r="H153" s="231" t="s">
        <v>28</v>
      </c>
      <c r="I153" s="321">
        <v>149</v>
      </c>
      <c r="J153" s="202" t="s">
        <v>49</v>
      </c>
      <c r="K153" s="292">
        <f t="shared" ref="K153:M154" si="157">K87</f>
        <v>-5.9997319345783495</v>
      </c>
      <c r="L153" s="331">
        <f t="shared" si="157"/>
        <v>-1</v>
      </c>
      <c r="M153" s="342">
        <f t="shared" si="157"/>
        <v>163.8099775</v>
      </c>
      <c r="N153" s="342">
        <f t="shared" si="55"/>
        <v>3.2761995499999998</v>
      </c>
      <c r="O153" s="342">
        <f>O87</f>
        <v>0.93609286201825148</v>
      </c>
      <c r="P153" s="203">
        <f>P87</f>
        <v>50</v>
      </c>
      <c r="Q153" s="203">
        <f>'Invoer en resultaat'!$H$9</f>
        <v>100</v>
      </c>
      <c r="R153" s="203">
        <f t="shared" si="56"/>
        <v>50</v>
      </c>
      <c r="S153" s="357">
        <f t="shared" ref="S153:U154" si="158">S87</f>
        <v>1</v>
      </c>
      <c r="T153" s="354">
        <f t="shared" si="158"/>
        <v>5.0000000000000001E-3</v>
      </c>
      <c r="U153" s="190">
        <f t="shared" si="158"/>
        <v>0</v>
      </c>
      <c r="W153" s="140" t="s">
        <v>167</v>
      </c>
      <c r="X153" s="140"/>
      <c r="Y153" s="140" t="str">
        <f>'MKI-waarden'!$A$31</f>
        <v>Damwand, Beton</v>
      </c>
    </row>
    <row r="154" spans="1:25" s="205" customFormat="1" ht="14.25" customHeight="1" x14ac:dyDescent="0.2">
      <c r="A154" s="196">
        <f t="shared" si="65"/>
        <v>5</v>
      </c>
      <c r="B154" s="197" t="s">
        <v>129</v>
      </c>
      <c r="C154" s="198">
        <f t="shared" si="126"/>
        <v>5</v>
      </c>
      <c r="D154" s="199">
        <f t="shared" si="104"/>
        <v>24</v>
      </c>
      <c r="E154" s="231" t="s">
        <v>116</v>
      </c>
      <c r="F154" s="200">
        <f t="shared" si="138"/>
        <v>24</v>
      </c>
      <c r="G154" s="201"/>
      <c r="H154" s="231" t="s">
        <v>6</v>
      </c>
      <c r="I154" s="321">
        <v>150</v>
      </c>
      <c r="J154" s="202" t="s">
        <v>49</v>
      </c>
      <c r="K154" s="292">
        <f t="shared" si="157"/>
        <v>0.76065580474896133</v>
      </c>
      <c r="L154" s="331">
        <f t="shared" si="157"/>
        <v>0.5059023945787271</v>
      </c>
      <c r="M154" s="342">
        <f t="shared" si="157"/>
        <v>5.6012098184999992</v>
      </c>
      <c r="N154" s="342">
        <f t="shared" si="55"/>
        <v>0.11202419636999998</v>
      </c>
      <c r="O154" s="342">
        <f>O88</f>
        <v>0.11202419636999998</v>
      </c>
      <c r="P154" s="203">
        <f>P88</f>
        <v>50</v>
      </c>
      <c r="Q154" s="203">
        <f>'Invoer en resultaat'!$H$9</f>
        <v>100</v>
      </c>
      <c r="R154" s="203">
        <f t="shared" si="56"/>
        <v>50</v>
      </c>
      <c r="S154" s="357">
        <f t="shared" si="158"/>
        <v>1</v>
      </c>
      <c r="T154" s="354">
        <f t="shared" si="158"/>
        <v>5.0000000000000001E-3</v>
      </c>
      <c r="U154" s="190">
        <f t="shared" si="158"/>
        <v>0</v>
      </c>
      <c r="W154" s="140" t="s">
        <v>167</v>
      </c>
      <c r="X154" s="140"/>
      <c r="Y154" s="140" t="str">
        <f>'MKI-waarden'!$A$102</f>
        <v>RVS plaat, 1x1, 4 mm dik</v>
      </c>
    </row>
    <row r="155" spans="1:25" s="220" customFormat="1" ht="14.25" customHeight="1" x14ac:dyDescent="0.2">
      <c r="A155" s="208">
        <f t="shared" ref="A155" si="159">C155</f>
        <v>5</v>
      </c>
      <c r="B155" s="209" t="s">
        <v>129</v>
      </c>
      <c r="C155" s="210">
        <f t="shared" si="126"/>
        <v>5</v>
      </c>
      <c r="D155" s="211">
        <f t="shared" si="104"/>
        <v>24</v>
      </c>
      <c r="E155" s="232" t="s">
        <v>116</v>
      </c>
      <c r="F155" s="213">
        <f t="shared" si="138"/>
        <v>24</v>
      </c>
      <c r="G155" s="214"/>
      <c r="H155" s="232" t="s">
        <v>1</v>
      </c>
      <c r="I155" s="321">
        <v>151</v>
      </c>
      <c r="J155" s="215" t="s">
        <v>49</v>
      </c>
      <c r="K155" s="296">
        <f>K86</f>
        <v>0.44109780956509026</v>
      </c>
      <c r="L155" s="331">
        <f>L86</f>
        <v>0.40758135985736121</v>
      </c>
      <c r="M155" s="345">
        <f>M86</f>
        <v>4.5139755102040811</v>
      </c>
      <c r="N155" s="345">
        <f t="shared" si="55"/>
        <v>9.027951020408162E-2</v>
      </c>
      <c r="O155" s="345">
        <f>O86</f>
        <v>9.027951020408162E-2</v>
      </c>
      <c r="P155" s="216">
        <f>P86</f>
        <v>50</v>
      </c>
      <c r="Q155" s="203">
        <f>'Invoer en resultaat'!$H$9</f>
        <v>100</v>
      </c>
      <c r="R155" s="203">
        <f t="shared" si="56"/>
        <v>50</v>
      </c>
      <c r="S155" s="358">
        <f>S86</f>
        <v>1</v>
      </c>
      <c r="T155" s="359">
        <f>T86</f>
        <v>0.1</v>
      </c>
      <c r="U155" s="217">
        <f>U86</f>
        <v>0</v>
      </c>
      <c r="W155" s="229" t="s">
        <v>334</v>
      </c>
      <c r="X155" s="229"/>
      <c r="Y155" s="229" t="str">
        <f>'MKI-waarden'!$A$5</f>
        <v>Kolommen, aluminium, per kg constructiegewicht.</v>
      </c>
    </row>
    <row r="156" spans="1:25" s="205" customFormat="1" ht="14.25" customHeight="1" x14ac:dyDescent="0.2">
      <c r="A156" s="196">
        <f t="shared" si="65"/>
        <v>5</v>
      </c>
      <c r="B156" s="197" t="s">
        <v>129</v>
      </c>
      <c r="C156" s="198">
        <f>IF(B156=B154,C154,C154+1)</f>
        <v>5</v>
      </c>
      <c r="D156" s="199">
        <f t="shared" si="104"/>
        <v>25</v>
      </c>
      <c r="E156" s="231" t="s">
        <v>79</v>
      </c>
      <c r="F156" s="200">
        <f>IF(E156=E154,F154,F154+1)</f>
        <v>25</v>
      </c>
      <c r="G156" s="201"/>
      <c r="H156" s="231" t="s">
        <v>133</v>
      </c>
      <c r="I156" s="321">
        <v>152</v>
      </c>
      <c r="J156" s="221" t="s">
        <v>50</v>
      </c>
      <c r="K156" s="336">
        <f>$K$96</f>
        <v>-0.83225471280787522</v>
      </c>
      <c r="L156" s="331">
        <v>-1</v>
      </c>
      <c r="M156" s="345">
        <f>M96</f>
        <v>0.87902413793103451</v>
      </c>
      <c r="N156" s="345">
        <f t="shared" ref="N156:N228" si="160">IFERROR(IF(Q156&lt;P156,M156/Q156,M156/P156),"")</f>
        <v>7.325201149425288E-2</v>
      </c>
      <c r="O156" s="342">
        <f t="shared" ref="O156:P159" si="161">O96</f>
        <v>7.325201149425288E-2</v>
      </c>
      <c r="P156" s="203">
        <f t="shared" si="161"/>
        <v>12</v>
      </c>
      <c r="Q156" s="203">
        <f>'Invoer en resultaat'!$H$9</f>
        <v>100</v>
      </c>
      <c r="R156" s="203">
        <f t="shared" ref="R156:R228" si="162">Q156-P156</f>
        <v>88</v>
      </c>
      <c r="S156" s="357">
        <f t="shared" ref="S156:U159" si="163">S96</f>
        <v>8</v>
      </c>
      <c r="T156" s="354">
        <f t="shared" si="163"/>
        <v>5.0000000000000001E-3</v>
      </c>
      <c r="U156" s="190">
        <f t="shared" si="163"/>
        <v>0.1</v>
      </c>
      <c r="V156" s="140" t="s">
        <v>614</v>
      </c>
      <c r="W156" s="140" t="s">
        <v>270</v>
      </c>
      <c r="X156" s="184"/>
      <c r="Y156" s="140" t="str">
        <f>'MKI-waarden'!$A$54</f>
        <v>Waterleiding bamboe, 100mm</v>
      </c>
    </row>
    <row r="157" spans="1:25" s="205" customFormat="1" ht="14.25" customHeight="1" x14ac:dyDescent="0.2">
      <c r="A157" s="196">
        <f t="shared" si="65"/>
        <v>5</v>
      </c>
      <c r="B157" s="197" t="s">
        <v>129</v>
      </c>
      <c r="C157" s="198">
        <f t="shared" ref="C157:C165" si="164">IF(B157=B156,C156,C156+1)</f>
        <v>5</v>
      </c>
      <c r="D157" s="199">
        <f t="shared" si="104"/>
        <v>25</v>
      </c>
      <c r="E157" s="231" t="s">
        <v>79</v>
      </c>
      <c r="F157" s="200">
        <f t="shared" si="138"/>
        <v>25</v>
      </c>
      <c r="G157" s="201"/>
      <c r="H157" s="231" t="s">
        <v>5</v>
      </c>
      <c r="I157" s="321">
        <v>153</v>
      </c>
      <c r="J157" s="221" t="s">
        <v>50</v>
      </c>
      <c r="K157" s="292">
        <f t="shared" ref="K157:L159" si="165">K97</f>
        <v>0.80999527449102071</v>
      </c>
      <c r="L157" s="331">
        <f t="shared" si="165"/>
        <v>0.76149994472833482</v>
      </c>
      <c r="M157" s="342">
        <f>M97</f>
        <v>0.26586805228984217</v>
      </c>
      <c r="N157" s="342">
        <f t="shared" si="160"/>
        <v>7.5962300654240618E-3</v>
      </c>
      <c r="O157" s="342">
        <f t="shared" si="161"/>
        <v>7.5962300654240618E-3</v>
      </c>
      <c r="P157" s="203">
        <f t="shared" si="161"/>
        <v>35</v>
      </c>
      <c r="Q157" s="203">
        <f>'Invoer en resultaat'!$H$9</f>
        <v>100</v>
      </c>
      <c r="R157" s="203">
        <f t="shared" si="162"/>
        <v>65</v>
      </c>
      <c r="S157" s="357">
        <f t="shared" si="163"/>
        <v>2</v>
      </c>
      <c r="T157" s="354">
        <f t="shared" si="163"/>
        <v>3.0000000000000001E-3</v>
      </c>
      <c r="U157" s="190">
        <f t="shared" si="163"/>
        <v>0.1</v>
      </c>
      <c r="V157" s="140"/>
      <c r="W157" s="140" t="s">
        <v>270</v>
      </c>
      <c r="X157" s="227"/>
      <c r="Y157" s="140" t="str">
        <f>'MKI-waarden'!$A$100</f>
        <v>Reflectorpalen PVC</v>
      </c>
    </row>
    <row r="158" spans="1:25" s="205" customFormat="1" ht="14.25" customHeight="1" x14ac:dyDescent="0.2">
      <c r="A158" s="196">
        <f t="shared" si="65"/>
        <v>5</v>
      </c>
      <c r="B158" s="197" t="s">
        <v>129</v>
      </c>
      <c r="C158" s="198">
        <f t="shared" si="164"/>
        <v>5</v>
      </c>
      <c r="D158" s="199">
        <f t="shared" si="104"/>
        <v>25</v>
      </c>
      <c r="E158" s="231" t="s">
        <v>79</v>
      </c>
      <c r="F158" s="200">
        <f t="shared" si="138"/>
        <v>25</v>
      </c>
      <c r="G158" s="201"/>
      <c r="H158" s="231" t="s">
        <v>135</v>
      </c>
      <c r="I158" s="321">
        <v>154</v>
      </c>
      <c r="J158" s="221" t="s">
        <v>50</v>
      </c>
      <c r="K158" s="292">
        <f t="shared" si="165"/>
        <v>0.79111637177161953</v>
      </c>
      <c r="L158" s="331">
        <f t="shared" si="165"/>
        <v>0.73780253757183334</v>
      </c>
      <c r="M158" s="342">
        <f>M98</f>
        <v>0.62632446088096139</v>
      </c>
      <c r="N158" s="342">
        <f t="shared" si="160"/>
        <v>8.350992811746151E-3</v>
      </c>
      <c r="O158" s="342">
        <f t="shared" si="161"/>
        <v>8.350992811746151E-3</v>
      </c>
      <c r="P158" s="203">
        <f t="shared" si="161"/>
        <v>75</v>
      </c>
      <c r="Q158" s="203">
        <f>'Invoer en resultaat'!$H$9</f>
        <v>100</v>
      </c>
      <c r="R158" s="203">
        <f t="shared" si="162"/>
        <v>25</v>
      </c>
      <c r="S158" s="357">
        <f t="shared" si="163"/>
        <v>1</v>
      </c>
      <c r="T158" s="354">
        <f t="shared" si="163"/>
        <v>0.01</v>
      </c>
      <c r="U158" s="190">
        <f t="shared" si="163"/>
        <v>0.1</v>
      </c>
      <c r="W158" s="140" t="s">
        <v>270</v>
      </c>
      <c r="X158" s="184"/>
      <c r="Y158" s="140" t="str">
        <f>'MKI-waarden'!$A$101</f>
        <v>Reflectorpalen PE</v>
      </c>
    </row>
    <row r="159" spans="1:25" s="205" customFormat="1" ht="14.25" customHeight="1" x14ac:dyDescent="0.2">
      <c r="A159" s="196">
        <f t="shared" si="65"/>
        <v>5</v>
      </c>
      <c r="B159" s="197" t="s">
        <v>129</v>
      </c>
      <c r="C159" s="198">
        <f t="shared" si="164"/>
        <v>5</v>
      </c>
      <c r="D159" s="199">
        <f t="shared" si="104"/>
        <v>25</v>
      </c>
      <c r="E159" s="231" t="s">
        <v>79</v>
      </c>
      <c r="F159" s="200">
        <f t="shared" si="138"/>
        <v>25</v>
      </c>
      <c r="G159" s="201"/>
      <c r="H159" s="231" t="s">
        <v>660</v>
      </c>
      <c r="I159" s="321">
        <v>155</v>
      </c>
      <c r="J159" s="221" t="s">
        <v>50</v>
      </c>
      <c r="K159" s="292">
        <f t="shared" si="165"/>
        <v>0.83840634303338424</v>
      </c>
      <c r="L159" s="331">
        <f t="shared" si="165"/>
        <v>0.83840634303338424</v>
      </c>
      <c r="M159" s="342">
        <f>M99</f>
        <v>0.48452844744127932</v>
      </c>
      <c r="N159" s="342">
        <f t="shared" si="160"/>
        <v>6.4603792992170578E-3</v>
      </c>
      <c r="O159" s="342">
        <f t="shared" si="161"/>
        <v>6.4603792992170578E-3</v>
      </c>
      <c r="P159" s="203">
        <f t="shared" si="161"/>
        <v>75</v>
      </c>
      <c r="Q159" s="203">
        <f>'Invoer en resultaat'!$H$9</f>
        <v>100</v>
      </c>
      <c r="R159" s="203">
        <f t="shared" si="162"/>
        <v>25</v>
      </c>
      <c r="S159" s="357">
        <f t="shared" si="163"/>
        <v>1</v>
      </c>
      <c r="T159" s="354">
        <f t="shared" si="163"/>
        <v>5.0000000000000001E-3</v>
      </c>
      <c r="U159" s="190">
        <f t="shared" si="163"/>
        <v>0.1</v>
      </c>
      <c r="W159" s="140" t="s">
        <v>270</v>
      </c>
      <c r="X159" s="184"/>
      <c r="Y159" s="140" t="s">
        <v>662</v>
      </c>
    </row>
    <row r="160" spans="1:25" s="205" customFormat="1" ht="14.25" customHeight="1" x14ac:dyDescent="0.2">
      <c r="A160" s="196">
        <f t="shared" ref="A160" si="166">C160</f>
        <v>5</v>
      </c>
      <c r="B160" s="197" t="s">
        <v>129</v>
      </c>
      <c r="C160" s="198">
        <f t="shared" ref="C160" si="167">IF(B160=B159,C159,C159+1)</f>
        <v>5</v>
      </c>
      <c r="D160" s="199">
        <f t="shared" ref="D160" si="168">F160</f>
        <v>25</v>
      </c>
      <c r="E160" s="231" t="s">
        <v>79</v>
      </c>
      <c r="F160" s="200">
        <f t="shared" ref="F160" si="169">IF(E160=E159,F159,F159+1)</f>
        <v>25</v>
      </c>
      <c r="G160" s="201"/>
      <c r="H160" s="231" t="s">
        <v>658</v>
      </c>
      <c r="I160" s="321">
        <v>156</v>
      </c>
      <c r="J160" s="221" t="s">
        <v>50</v>
      </c>
      <c r="K160" s="292">
        <f>K$100</f>
        <v>0.8625461919888211</v>
      </c>
      <c r="L160" s="331">
        <f t="shared" ref="L160:U160" si="170">L$100</f>
        <v>0.8625461919888211</v>
      </c>
      <c r="M160" s="342">
        <f t="shared" si="170"/>
        <v>0.41214662407391028</v>
      </c>
      <c r="N160" s="342">
        <f t="shared" si="170"/>
        <v>5.4952883209854701E-3</v>
      </c>
      <c r="O160" s="342">
        <f t="shared" si="170"/>
        <v>5.4952883209854701E-3</v>
      </c>
      <c r="P160" s="203">
        <f t="shared" si="170"/>
        <v>75</v>
      </c>
      <c r="Q160" s="203">
        <f t="shared" si="170"/>
        <v>100</v>
      </c>
      <c r="R160" s="204">
        <f t="shared" si="170"/>
        <v>25</v>
      </c>
      <c r="S160" s="354">
        <f t="shared" si="170"/>
        <v>1</v>
      </c>
      <c r="T160" s="354">
        <f t="shared" si="170"/>
        <v>5.0000000000000001E-3</v>
      </c>
      <c r="U160" s="190">
        <f t="shared" si="170"/>
        <v>0.1</v>
      </c>
      <c r="W160" s="140" t="s">
        <v>270</v>
      </c>
      <c r="X160" s="184"/>
      <c r="Y160" s="140" t="str">
        <f>'MKI-waarden'!$A$128</f>
        <v>GVK, glasvezels in polyester, biobased hars</v>
      </c>
    </row>
    <row r="161" spans="1:25" s="205" customFormat="1" ht="14.25" customHeight="1" x14ac:dyDescent="0.2">
      <c r="A161" s="196">
        <f t="shared" si="65"/>
        <v>5</v>
      </c>
      <c r="B161" s="197" t="s">
        <v>129</v>
      </c>
      <c r="C161" s="198">
        <f>IF(B161=B159,C159,C159+1)</f>
        <v>5</v>
      </c>
      <c r="D161" s="199">
        <f t="shared" si="104"/>
        <v>25</v>
      </c>
      <c r="E161" s="231" t="s">
        <v>79</v>
      </c>
      <c r="F161" s="200">
        <f>IF(E161=E159,F159,F159+1)</f>
        <v>25</v>
      </c>
      <c r="G161" s="201"/>
      <c r="H161" s="231" t="s">
        <v>77</v>
      </c>
      <c r="I161" s="321">
        <v>157</v>
      </c>
      <c r="J161" s="221" t="s">
        <v>50</v>
      </c>
      <c r="K161" s="292">
        <f t="shared" ref="K161:M165" si="171">K101</f>
        <v>0.37810939583626191</v>
      </c>
      <c r="L161" s="331">
        <f t="shared" si="171"/>
        <v>0.21938287024881709</v>
      </c>
      <c r="M161" s="342">
        <f t="shared" si="171"/>
        <v>2.4862666400000002</v>
      </c>
      <c r="N161" s="342">
        <f t="shared" si="160"/>
        <v>2.48626664E-2</v>
      </c>
      <c r="O161" s="342">
        <f t="shared" ref="O161:P165" si="172">O101</f>
        <v>2.48626664E-2</v>
      </c>
      <c r="P161" s="203">
        <f t="shared" si="172"/>
        <v>100</v>
      </c>
      <c r="Q161" s="203">
        <f>'Invoer en resultaat'!$H$9</f>
        <v>100</v>
      </c>
      <c r="R161" s="203">
        <f t="shared" si="162"/>
        <v>0</v>
      </c>
      <c r="S161" s="357">
        <f t="shared" ref="S161:U165" si="173">S101</f>
        <v>0</v>
      </c>
      <c r="T161" s="354">
        <f t="shared" si="173"/>
        <v>0.02</v>
      </c>
      <c r="U161" s="190">
        <f t="shared" si="173"/>
        <v>0.1</v>
      </c>
      <c r="V161" s="140"/>
      <c r="W161" s="140" t="s">
        <v>270</v>
      </c>
      <c r="X161" s="140"/>
      <c r="Y161" s="140" t="str">
        <f>'MKI-waarden'!$A$73</f>
        <v>Keramiek leidingen, gresbuis klein</v>
      </c>
    </row>
    <row r="162" spans="1:25" s="205" customFormat="1" ht="14.25" customHeight="1" x14ac:dyDescent="0.2">
      <c r="A162" s="196">
        <f t="shared" si="65"/>
        <v>5</v>
      </c>
      <c r="B162" s="197" t="s">
        <v>129</v>
      </c>
      <c r="C162" s="198">
        <f t="shared" si="164"/>
        <v>5</v>
      </c>
      <c r="D162" s="199">
        <f t="shared" si="104"/>
        <v>25</v>
      </c>
      <c r="E162" s="231" t="s">
        <v>79</v>
      </c>
      <c r="F162" s="200">
        <f t="shared" si="138"/>
        <v>25</v>
      </c>
      <c r="G162" s="201"/>
      <c r="H162" s="231" t="s">
        <v>32</v>
      </c>
      <c r="I162" s="321">
        <v>158</v>
      </c>
      <c r="J162" s="221" t="s">
        <v>50</v>
      </c>
      <c r="K162" s="292">
        <f t="shared" si="171"/>
        <v>-0.61674153877704763</v>
      </c>
      <c r="L162" s="331">
        <f t="shared" si="171"/>
        <v>-0.61674153877704763</v>
      </c>
      <c r="M162" s="342">
        <f t="shared" si="171"/>
        <v>6.4635974984200004</v>
      </c>
      <c r="N162" s="342">
        <f t="shared" si="160"/>
        <v>6.4635974984199998E-2</v>
      </c>
      <c r="O162" s="342">
        <f t="shared" si="172"/>
        <v>6.4635974984199998E-2</v>
      </c>
      <c r="P162" s="203">
        <f t="shared" si="172"/>
        <v>100</v>
      </c>
      <c r="Q162" s="203">
        <f>'Invoer en resultaat'!$H$9</f>
        <v>100</v>
      </c>
      <c r="R162" s="203">
        <f t="shared" si="162"/>
        <v>0</v>
      </c>
      <c r="S162" s="357">
        <f t="shared" si="173"/>
        <v>0</v>
      </c>
      <c r="T162" s="354">
        <f t="shared" si="173"/>
        <v>0.01</v>
      </c>
      <c r="U162" s="190">
        <f t="shared" si="173"/>
        <v>0.1</v>
      </c>
      <c r="V162" s="140"/>
      <c r="W162" s="140" t="s">
        <v>270</v>
      </c>
      <c r="X162" s="140" t="s">
        <v>267</v>
      </c>
      <c r="Y162" s="140" t="str">
        <f>'MKI-waarden'!$A$63</f>
        <v>Gietijzer (obv gasleiding)</v>
      </c>
    </row>
    <row r="163" spans="1:25" s="205" customFormat="1" ht="14.25" customHeight="1" x14ac:dyDescent="0.2">
      <c r="A163" s="196">
        <f t="shared" si="65"/>
        <v>5</v>
      </c>
      <c r="B163" s="197" t="s">
        <v>129</v>
      </c>
      <c r="C163" s="198">
        <f t="shared" si="164"/>
        <v>5</v>
      </c>
      <c r="D163" s="199">
        <f t="shared" si="104"/>
        <v>25</v>
      </c>
      <c r="E163" s="231" t="s">
        <v>79</v>
      </c>
      <c r="F163" s="200">
        <f t="shared" si="138"/>
        <v>25</v>
      </c>
      <c r="G163" s="201"/>
      <c r="H163" s="231" t="s">
        <v>4</v>
      </c>
      <c r="I163" s="321">
        <v>159</v>
      </c>
      <c r="J163" s="221" t="s">
        <v>50</v>
      </c>
      <c r="K163" s="292">
        <f t="shared" si="171"/>
        <v>-8.7691151560397529E-2</v>
      </c>
      <c r="L163" s="331">
        <f t="shared" si="171"/>
        <v>-0.36530498949825585</v>
      </c>
      <c r="M163" s="342">
        <f t="shared" si="171"/>
        <v>1.7393993134109393</v>
      </c>
      <c r="N163" s="342">
        <f t="shared" si="160"/>
        <v>4.3484982835273481E-2</v>
      </c>
      <c r="O163" s="342">
        <f t="shared" si="172"/>
        <v>4.3484982835273481E-2</v>
      </c>
      <c r="P163" s="203">
        <f t="shared" si="172"/>
        <v>40</v>
      </c>
      <c r="Q163" s="203">
        <f>'Invoer en resultaat'!$H$9</f>
        <v>100</v>
      </c>
      <c r="R163" s="203">
        <f t="shared" si="162"/>
        <v>60</v>
      </c>
      <c r="S163" s="357">
        <f t="shared" si="173"/>
        <v>2</v>
      </c>
      <c r="T163" s="354">
        <f t="shared" si="173"/>
        <v>5.0000000000000001E-3</v>
      </c>
      <c r="U163" s="190">
        <f t="shared" si="173"/>
        <v>0.1</v>
      </c>
      <c r="V163" s="140"/>
      <c r="W163" s="140" t="s">
        <v>270</v>
      </c>
      <c r="X163" s="227"/>
      <c r="Y163" s="140" t="str">
        <f>'MKI-waarden'!$A$27</f>
        <v>Constructies in kg of m3, wapeningstaal</v>
      </c>
    </row>
    <row r="164" spans="1:25" s="205" customFormat="1" ht="14.25" customHeight="1" x14ac:dyDescent="0.2">
      <c r="A164" s="196">
        <f t="shared" si="65"/>
        <v>5</v>
      </c>
      <c r="B164" s="197" t="s">
        <v>129</v>
      </c>
      <c r="C164" s="198">
        <f t="shared" si="164"/>
        <v>5</v>
      </c>
      <c r="D164" s="199">
        <f t="shared" si="104"/>
        <v>25</v>
      </c>
      <c r="E164" s="231" t="s">
        <v>79</v>
      </c>
      <c r="F164" s="200">
        <f t="shared" si="138"/>
        <v>25</v>
      </c>
      <c r="G164" s="201"/>
      <c r="H164" s="231" t="s">
        <v>117</v>
      </c>
      <c r="I164" s="321">
        <v>160</v>
      </c>
      <c r="J164" s="221" t="s">
        <v>50</v>
      </c>
      <c r="K164" s="292">
        <f t="shared" si="171"/>
        <v>-3.0333466886390008</v>
      </c>
      <c r="L164" s="331">
        <f t="shared" si="171"/>
        <v>-1</v>
      </c>
      <c r="M164" s="342">
        <f t="shared" si="171"/>
        <v>9.6749897030545995</v>
      </c>
      <c r="N164" s="342">
        <f t="shared" si="160"/>
        <v>0.16124982838424332</v>
      </c>
      <c r="O164" s="342">
        <f t="shared" si="172"/>
        <v>7.9958327826589543E-2</v>
      </c>
      <c r="P164" s="203">
        <f t="shared" si="172"/>
        <v>60</v>
      </c>
      <c r="Q164" s="203">
        <f>'Invoer en resultaat'!$H$9</f>
        <v>100</v>
      </c>
      <c r="R164" s="203">
        <f t="shared" si="162"/>
        <v>40</v>
      </c>
      <c r="S164" s="357">
        <f t="shared" si="173"/>
        <v>1</v>
      </c>
      <c r="T164" s="354">
        <f t="shared" si="173"/>
        <v>5.0000000000000001E-3</v>
      </c>
      <c r="U164" s="190">
        <f t="shared" si="173"/>
        <v>0.1</v>
      </c>
      <c r="V164" s="140"/>
      <c r="W164" s="140" t="s">
        <v>270</v>
      </c>
      <c r="X164" s="227"/>
      <c r="Y164" s="140" t="str">
        <f>'MKI-waarden'!$A$56</f>
        <v>Hemelwaterafvoer, koper, d = 80 mm, wd = 0,65 mm</v>
      </c>
    </row>
    <row r="165" spans="1:25" s="220" customFormat="1" ht="14.25" customHeight="1" x14ac:dyDescent="0.2">
      <c r="A165" s="208">
        <f t="shared" ref="A165:A240" si="174">C165</f>
        <v>5</v>
      </c>
      <c r="B165" s="209" t="s">
        <v>129</v>
      </c>
      <c r="C165" s="210">
        <f t="shared" si="164"/>
        <v>5</v>
      </c>
      <c r="D165" s="211">
        <f t="shared" si="104"/>
        <v>25</v>
      </c>
      <c r="E165" s="232" t="s">
        <v>79</v>
      </c>
      <c r="F165" s="213">
        <f t="shared" si="138"/>
        <v>25</v>
      </c>
      <c r="G165" s="214"/>
      <c r="H165" s="232" t="s">
        <v>1</v>
      </c>
      <c r="I165" s="321">
        <v>161</v>
      </c>
      <c r="J165" s="228" t="s">
        <v>50</v>
      </c>
      <c r="K165" s="296">
        <f t="shared" si="171"/>
        <v>0.88986051466321292</v>
      </c>
      <c r="L165" s="331">
        <f t="shared" si="171"/>
        <v>0.86174936823255432</v>
      </c>
      <c r="M165" s="345">
        <f t="shared" si="171"/>
        <v>0.33024634032040029</v>
      </c>
      <c r="N165" s="345">
        <f t="shared" si="160"/>
        <v>4.4032845376053373E-3</v>
      </c>
      <c r="O165" s="345">
        <f t="shared" si="172"/>
        <v>4.4032845376053373E-3</v>
      </c>
      <c r="P165" s="216">
        <f t="shared" si="172"/>
        <v>75</v>
      </c>
      <c r="Q165" s="203">
        <f>'Invoer en resultaat'!$H$9</f>
        <v>100</v>
      </c>
      <c r="R165" s="203">
        <f t="shared" si="162"/>
        <v>25</v>
      </c>
      <c r="S165" s="358">
        <f t="shared" si="173"/>
        <v>1</v>
      </c>
      <c r="T165" s="359">
        <f t="shared" si="173"/>
        <v>0.05</v>
      </c>
      <c r="U165" s="217">
        <f t="shared" si="173"/>
        <v>0.1</v>
      </c>
      <c r="V165" s="229"/>
      <c r="W165" s="229" t="s">
        <v>270</v>
      </c>
      <c r="X165" s="230"/>
      <c r="Y165" s="229" t="str">
        <f>'MKI-waarden'!$A$20</f>
        <v>Betonmortel C20/25 (CEM I)</v>
      </c>
    </row>
    <row r="166" spans="1:25" s="205" customFormat="1" ht="14.25" customHeight="1" x14ac:dyDescent="0.2">
      <c r="A166" s="196">
        <f t="shared" si="174"/>
        <v>5</v>
      </c>
      <c r="B166" s="197" t="s">
        <v>129</v>
      </c>
      <c r="C166" s="198">
        <f t="shared" ref="C166:C178" si="175">IF(B166=B165,C165,C165+1)</f>
        <v>5</v>
      </c>
      <c r="D166" s="199">
        <f t="shared" ref="D166:D216" si="176">F166</f>
        <v>26</v>
      </c>
      <c r="E166" s="231" t="s">
        <v>220</v>
      </c>
      <c r="F166" s="200">
        <f t="shared" si="138"/>
        <v>26</v>
      </c>
      <c r="G166" s="201"/>
      <c r="H166" s="231" t="s">
        <v>12</v>
      </c>
      <c r="I166" s="321">
        <v>162</v>
      </c>
      <c r="J166" s="202" t="s">
        <v>49</v>
      </c>
      <c r="K166" s="292">
        <f>$K$5</f>
        <v>0.43856308421972479</v>
      </c>
      <c r="L166" s="331">
        <f>L$5</f>
        <v>0.42114143562119966</v>
      </c>
      <c r="M166" s="342">
        <f>M$5</f>
        <v>2.003916666666667</v>
      </c>
      <c r="N166" s="342">
        <f t="shared" si="160"/>
        <v>0.20039166666666669</v>
      </c>
      <c r="O166" s="342">
        <f>O$5</f>
        <v>0.20039166666666669</v>
      </c>
      <c r="P166" s="203">
        <f>$P$5</f>
        <v>10</v>
      </c>
      <c r="Q166" s="203">
        <f>'Invoer en resultaat'!$H$9</f>
        <v>100</v>
      </c>
      <c r="R166" s="203">
        <f t="shared" si="162"/>
        <v>90</v>
      </c>
      <c r="S166" s="357">
        <f>$S$5</f>
        <v>9</v>
      </c>
      <c r="T166" s="356">
        <v>0.1</v>
      </c>
      <c r="U166" s="327">
        <v>0</v>
      </c>
      <c r="V166" s="174"/>
      <c r="W166" s="140" t="s">
        <v>331</v>
      </c>
      <c r="X166" s="329"/>
      <c r="Y166" s="140" t="str">
        <f>$Y$5</f>
        <v>Damwanden, Europees naaldhout, damwandplanken</v>
      </c>
    </row>
    <row r="167" spans="1:25" s="205" customFormat="1" ht="14.25" customHeight="1" x14ac:dyDescent="0.2">
      <c r="A167" s="196">
        <f t="shared" si="174"/>
        <v>5</v>
      </c>
      <c r="B167" s="197" t="s">
        <v>129</v>
      </c>
      <c r="C167" s="198">
        <f t="shared" si="175"/>
        <v>5</v>
      </c>
      <c r="D167" s="199">
        <f t="shared" si="176"/>
        <v>26</v>
      </c>
      <c r="E167" s="231" t="s">
        <v>220</v>
      </c>
      <c r="F167" s="200">
        <f t="shared" si="138"/>
        <v>26</v>
      </c>
      <c r="G167" s="201"/>
      <c r="H167" s="231" t="s">
        <v>13</v>
      </c>
      <c r="I167" s="321">
        <v>163</v>
      </c>
      <c r="J167" s="202" t="s">
        <v>49</v>
      </c>
      <c r="K167" s="292">
        <f>$K$6</f>
        <v>9.0963427471344005E-2</v>
      </c>
      <c r="L167" s="331">
        <f>L$6</f>
        <v>6.2755599869213419E-2</v>
      </c>
      <c r="M167" s="342">
        <f>M$6</f>
        <v>6.4891833333333322</v>
      </c>
      <c r="N167" s="342">
        <f t="shared" si="160"/>
        <v>0.32445916666666663</v>
      </c>
      <c r="O167" s="342">
        <f>O$6</f>
        <v>0.32445916666666663</v>
      </c>
      <c r="P167" s="203">
        <f>$P$6</f>
        <v>20</v>
      </c>
      <c r="Q167" s="203">
        <f>'Invoer en resultaat'!$H$9</f>
        <v>100</v>
      </c>
      <c r="R167" s="203">
        <f t="shared" si="162"/>
        <v>80</v>
      </c>
      <c r="S167" s="357">
        <f>$S$6</f>
        <v>4</v>
      </c>
      <c r="T167" s="354">
        <v>0.1</v>
      </c>
      <c r="U167" s="190">
        <v>0</v>
      </c>
      <c r="V167" s="174"/>
      <c r="W167" s="140" t="s">
        <v>331</v>
      </c>
      <c r="X167" s="140"/>
      <c r="Y167" s="140" t="str">
        <f>$Y$6</f>
        <v>Damwand, tropisch hardhout, damwandplanken</v>
      </c>
    </row>
    <row r="168" spans="1:25" s="205" customFormat="1" ht="14.25" customHeight="1" x14ac:dyDescent="0.2">
      <c r="A168" s="196">
        <f t="shared" si="174"/>
        <v>5</v>
      </c>
      <c r="B168" s="197" t="s">
        <v>129</v>
      </c>
      <c r="C168" s="198">
        <f t="shared" si="175"/>
        <v>5</v>
      </c>
      <c r="D168" s="199">
        <f t="shared" si="176"/>
        <v>26</v>
      </c>
      <c r="E168" s="231" t="s">
        <v>220</v>
      </c>
      <c r="F168" s="200">
        <f t="shared" si="138"/>
        <v>26</v>
      </c>
      <c r="G168" s="201"/>
      <c r="H168" s="231" t="s">
        <v>109</v>
      </c>
      <c r="I168" s="321">
        <v>164</v>
      </c>
      <c r="J168" s="202" t="s">
        <v>49</v>
      </c>
      <c r="K168" s="292">
        <f>$K$7</f>
        <v>0.61476653593485509</v>
      </c>
      <c r="L168" s="331">
        <f>L$7</f>
        <v>0.60281256238823122</v>
      </c>
      <c r="M168" s="342">
        <f>M$7</f>
        <v>2.7500000000000004</v>
      </c>
      <c r="N168" s="342">
        <f t="shared" si="160"/>
        <v>0.13750000000000001</v>
      </c>
      <c r="O168" s="342">
        <f>O$7</f>
        <v>0.13750000000000001</v>
      </c>
      <c r="P168" s="203">
        <f>$P$7</f>
        <v>20</v>
      </c>
      <c r="Q168" s="203">
        <f>'Invoer en resultaat'!$H$9</f>
        <v>100</v>
      </c>
      <c r="R168" s="203">
        <f t="shared" si="162"/>
        <v>80</v>
      </c>
      <c r="S168" s="357">
        <f>$S$7</f>
        <v>4</v>
      </c>
      <c r="T168" s="354">
        <v>0.1</v>
      </c>
      <c r="U168" s="190">
        <v>0</v>
      </c>
      <c r="V168" s="140">
        <f>$V$7</f>
        <v>0</v>
      </c>
      <c r="W168" s="140"/>
      <c r="X168" s="140"/>
      <c r="Y168" s="140" t="str">
        <f>$Y$7</f>
        <v>Damwand Twinwood 80% EU naaldhout, 20% azobe hardhout</v>
      </c>
    </row>
    <row r="169" spans="1:25" s="205" customFormat="1" ht="14.25" customHeight="1" x14ac:dyDescent="0.2">
      <c r="A169" s="196">
        <f t="shared" si="174"/>
        <v>5</v>
      </c>
      <c r="B169" s="197" t="s">
        <v>129</v>
      </c>
      <c r="C169" s="198">
        <f t="shared" si="175"/>
        <v>5</v>
      </c>
      <c r="D169" s="199">
        <f t="shared" si="176"/>
        <v>26</v>
      </c>
      <c r="E169" s="231" t="s">
        <v>220</v>
      </c>
      <c r="F169" s="200">
        <f t="shared" si="138"/>
        <v>26</v>
      </c>
      <c r="G169" s="201"/>
      <c r="H169" s="231" t="s">
        <v>110</v>
      </c>
      <c r="I169" s="321">
        <v>165</v>
      </c>
      <c r="J169" s="202" t="s">
        <v>49</v>
      </c>
      <c r="K169" s="292">
        <f>$K$8</f>
        <v>0.84824025085611443</v>
      </c>
      <c r="L169" s="331">
        <f>L$8</f>
        <v>0.8435310752627877</v>
      </c>
      <c r="M169" s="342">
        <f>M$8</f>
        <v>2.1666825396825398</v>
      </c>
      <c r="N169" s="342">
        <f t="shared" si="160"/>
        <v>5.4167063492063496E-2</v>
      </c>
      <c r="O169" s="342">
        <f>O$8</f>
        <v>5.4167063492063496E-2</v>
      </c>
      <c r="P169" s="203">
        <f>$P$8</f>
        <v>40</v>
      </c>
      <c r="Q169" s="203">
        <f>'Invoer en resultaat'!$H$9</f>
        <v>100</v>
      </c>
      <c r="R169" s="203">
        <f t="shared" si="162"/>
        <v>60</v>
      </c>
      <c r="S169" s="357">
        <f>$S$8</f>
        <v>2</v>
      </c>
      <c r="T169" s="354">
        <v>0.1</v>
      </c>
      <c r="U169" s="190">
        <v>0</v>
      </c>
      <c r="V169" s="140" t="str">
        <f>$V$8</f>
        <v>Kunststof: gerecycled PE</v>
      </c>
      <c r="W169" s="140"/>
      <c r="X169" s="207"/>
      <c r="Y169" s="140" t="str">
        <f>$Y$8</f>
        <v>Combi-plank gerecycled kunststof en Europees naaldhout</v>
      </c>
    </row>
    <row r="170" spans="1:25" s="205" customFormat="1" ht="14.25" customHeight="1" x14ac:dyDescent="0.2">
      <c r="A170" s="196">
        <f t="shared" si="174"/>
        <v>5</v>
      </c>
      <c r="B170" s="197" t="s">
        <v>129</v>
      </c>
      <c r="C170" s="198">
        <f t="shared" si="175"/>
        <v>5</v>
      </c>
      <c r="D170" s="199">
        <f t="shared" si="176"/>
        <v>26</v>
      </c>
      <c r="E170" s="231" t="s">
        <v>220</v>
      </c>
      <c r="F170" s="200">
        <f t="shared" si="138"/>
        <v>26</v>
      </c>
      <c r="G170" s="201"/>
      <c r="H170" s="231" t="s">
        <v>111</v>
      </c>
      <c r="I170" s="321">
        <v>166</v>
      </c>
      <c r="J170" s="202" t="s">
        <v>49</v>
      </c>
      <c r="K170" s="292">
        <f>$K$9</f>
        <v>-1.4514483244422856</v>
      </c>
      <c r="L170" s="331">
        <f>L$9</f>
        <v>-1</v>
      </c>
      <c r="M170" s="342">
        <f>M$9</f>
        <v>26.249599999999997</v>
      </c>
      <c r="N170" s="342">
        <f t="shared" si="160"/>
        <v>0.87498666666666658</v>
      </c>
      <c r="O170" s="342">
        <f>O$9</f>
        <v>0.71385283380650466</v>
      </c>
      <c r="P170" s="203">
        <f>$P$9</f>
        <v>30</v>
      </c>
      <c r="Q170" s="203">
        <f>'Invoer en resultaat'!$H$9</f>
        <v>100</v>
      </c>
      <c r="R170" s="203">
        <f t="shared" si="162"/>
        <v>70</v>
      </c>
      <c r="S170" s="357">
        <f>$S$9</f>
        <v>3</v>
      </c>
      <c r="T170" s="354">
        <v>0.04</v>
      </c>
      <c r="U170" s="190">
        <v>0</v>
      </c>
      <c r="W170" s="140"/>
      <c r="X170" s="184"/>
      <c r="Y170" s="140" t="str">
        <f>$Y$9</f>
        <v>Damwand PCV nieuw</v>
      </c>
    </row>
    <row r="171" spans="1:25" s="205" customFormat="1" ht="14.25" customHeight="1" x14ac:dyDescent="0.2">
      <c r="A171" s="196">
        <f t="shared" si="174"/>
        <v>5</v>
      </c>
      <c r="B171" s="197" t="s">
        <v>129</v>
      </c>
      <c r="C171" s="198">
        <f t="shared" si="175"/>
        <v>5</v>
      </c>
      <c r="D171" s="199">
        <f t="shared" si="176"/>
        <v>26</v>
      </c>
      <c r="E171" s="231" t="s">
        <v>220</v>
      </c>
      <c r="F171" s="200">
        <f t="shared" si="138"/>
        <v>26</v>
      </c>
      <c r="G171" s="201"/>
      <c r="H171" s="231" t="s">
        <v>112</v>
      </c>
      <c r="I171" s="321">
        <v>167</v>
      </c>
      <c r="J171" s="202" t="s">
        <v>49</v>
      </c>
      <c r="K171" s="292">
        <f>$K$10</f>
        <v>-0.79219082619314851</v>
      </c>
      <c r="L171" s="331">
        <f>L$10</f>
        <v>-0.8478033410062229</v>
      </c>
      <c r="M171" s="342">
        <f>M$10</f>
        <v>19.190407499999999</v>
      </c>
      <c r="N171" s="342">
        <f t="shared" si="160"/>
        <v>0.63968024999999995</v>
      </c>
      <c r="O171" s="342">
        <f>O$10</f>
        <v>0.63968024999999995</v>
      </c>
      <c r="P171" s="203">
        <f>$P$10</f>
        <v>30</v>
      </c>
      <c r="Q171" s="203">
        <f>'Invoer en resultaat'!$H$9</f>
        <v>100</v>
      </c>
      <c r="R171" s="203">
        <f t="shared" si="162"/>
        <v>70</v>
      </c>
      <c r="S171" s="357">
        <f>$S$10</f>
        <v>3</v>
      </c>
      <c r="T171" s="354">
        <v>0.04</v>
      </c>
      <c r="U171" s="190">
        <v>0</v>
      </c>
      <c r="W171" s="140"/>
      <c r="X171" s="184"/>
      <c r="Y171" s="140" t="str">
        <f>$Y$10</f>
        <v>Damwand PVC Gerecycled, enkel scherm (ProLock, Omega)</v>
      </c>
    </row>
    <row r="172" spans="1:25" s="205" customFormat="1" ht="14.25" customHeight="1" x14ac:dyDescent="0.2">
      <c r="A172" s="196">
        <f t="shared" si="174"/>
        <v>5</v>
      </c>
      <c r="B172" s="197" t="s">
        <v>129</v>
      </c>
      <c r="C172" s="198">
        <f t="shared" si="175"/>
        <v>5</v>
      </c>
      <c r="D172" s="199">
        <f t="shared" si="176"/>
        <v>26</v>
      </c>
      <c r="E172" s="231" t="s">
        <v>220</v>
      </c>
      <c r="F172" s="200">
        <f t="shared" si="138"/>
        <v>26</v>
      </c>
      <c r="G172" s="201"/>
      <c r="H172" s="231" t="s">
        <v>113</v>
      </c>
      <c r="I172" s="321">
        <v>168</v>
      </c>
      <c r="J172" s="202" t="s">
        <v>49</v>
      </c>
      <c r="K172" s="292">
        <f>$K$11</f>
        <v>-0.7539049236853943</v>
      </c>
      <c r="L172" s="331">
        <f>L$11</f>
        <v>-0.80832940913841056</v>
      </c>
      <c r="M172" s="342">
        <f>M$11</f>
        <v>31.300750000000001</v>
      </c>
      <c r="N172" s="342">
        <f t="shared" si="160"/>
        <v>0.62601499999999999</v>
      </c>
      <c r="O172" s="342">
        <f>O$11</f>
        <v>0.62601499999999999</v>
      </c>
      <c r="P172" s="203">
        <f>$P$11</f>
        <v>50</v>
      </c>
      <c r="Q172" s="203">
        <f>'Invoer en resultaat'!$H$9</f>
        <v>100</v>
      </c>
      <c r="R172" s="203">
        <f t="shared" si="162"/>
        <v>50</v>
      </c>
      <c r="S172" s="357">
        <f>$S$11</f>
        <v>1</v>
      </c>
      <c r="T172" s="354">
        <v>0.05</v>
      </c>
      <c r="U172" s="190">
        <v>0</v>
      </c>
      <c r="W172" s="140"/>
      <c r="X172" s="184"/>
      <c r="Y172" s="140" t="str">
        <f>$Y$11</f>
        <v>Damwand PE nieuw</v>
      </c>
    </row>
    <row r="173" spans="1:25" s="205" customFormat="1" ht="14.25" customHeight="1" x14ac:dyDescent="0.2">
      <c r="A173" s="196">
        <f t="shared" si="174"/>
        <v>5</v>
      </c>
      <c r="B173" s="197" t="s">
        <v>129</v>
      </c>
      <c r="C173" s="198">
        <f t="shared" si="175"/>
        <v>5</v>
      </c>
      <c r="D173" s="199">
        <f t="shared" si="176"/>
        <v>26</v>
      </c>
      <c r="E173" s="231" t="s">
        <v>220</v>
      </c>
      <c r="F173" s="200">
        <f t="shared" si="138"/>
        <v>26</v>
      </c>
      <c r="G173" s="201"/>
      <c r="H173" s="231" t="s">
        <v>114</v>
      </c>
      <c r="I173" s="321">
        <v>169</v>
      </c>
      <c r="J173" s="202" t="s">
        <v>49</v>
      </c>
      <c r="K173" s="292">
        <f>$K$12</f>
        <v>-0.34414311964486144</v>
      </c>
      <c r="L173" s="331">
        <f>L$12</f>
        <v>-0.38585250575466734</v>
      </c>
      <c r="M173" s="342">
        <f>M$12</f>
        <v>23.988009375000001</v>
      </c>
      <c r="N173" s="342">
        <f t="shared" si="160"/>
        <v>0.47976018749999999</v>
      </c>
      <c r="O173" s="342">
        <f>O$12</f>
        <v>0.47976018749999999</v>
      </c>
      <c r="P173" s="203">
        <f>$P$12</f>
        <v>50</v>
      </c>
      <c r="Q173" s="203">
        <f>'Invoer en resultaat'!$H$9</f>
        <v>100</v>
      </c>
      <c r="R173" s="203">
        <f t="shared" si="162"/>
        <v>50</v>
      </c>
      <c r="S173" s="357">
        <f>$S$12</f>
        <v>1</v>
      </c>
      <c r="T173" s="354">
        <v>0.05</v>
      </c>
      <c r="U173" s="190">
        <v>0</v>
      </c>
      <c r="W173" s="140"/>
      <c r="X173" s="184"/>
      <c r="Y173" s="140" t="str">
        <f>$Y$12</f>
        <v>Damwand PE gerecycled</v>
      </c>
    </row>
    <row r="174" spans="1:25" s="205" customFormat="1" ht="14.25" customHeight="1" x14ac:dyDescent="0.2">
      <c r="A174" s="196">
        <f t="shared" si="174"/>
        <v>5</v>
      </c>
      <c r="B174" s="197" t="s">
        <v>129</v>
      </c>
      <c r="C174" s="198">
        <f t="shared" si="175"/>
        <v>5</v>
      </c>
      <c r="D174" s="199">
        <f t="shared" si="176"/>
        <v>26</v>
      </c>
      <c r="E174" s="231" t="s">
        <v>220</v>
      </c>
      <c r="F174" s="200">
        <f t="shared" si="138"/>
        <v>26</v>
      </c>
      <c r="G174" s="201"/>
      <c r="H174" s="231" t="s">
        <v>660</v>
      </c>
      <c r="I174" s="321">
        <v>170</v>
      </c>
      <c r="J174" s="202" t="s">
        <v>49</v>
      </c>
      <c r="K174" s="292">
        <f>$K$13</f>
        <v>-0.22558719032280861</v>
      </c>
      <c r="L174" s="331">
        <f>L$13</f>
        <v>-0.26361773081012818</v>
      </c>
      <c r="M174" s="342">
        <f>M$13</f>
        <v>26.246666666666666</v>
      </c>
      <c r="N174" s="342">
        <f t="shared" si="160"/>
        <v>0.43744444444444441</v>
      </c>
      <c r="O174" s="342">
        <f>O$13</f>
        <v>0.43744444444444441</v>
      </c>
      <c r="P174" s="203">
        <f>$P$13</f>
        <v>60</v>
      </c>
      <c r="Q174" s="203">
        <f>'Invoer en resultaat'!$H$9</f>
        <v>100</v>
      </c>
      <c r="R174" s="203">
        <f t="shared" si="162"/>
        <v>40</v>
      </c>
      <c r="S174" s="357">
        <f>$S$13</f>
        <v>1</v>
      </c>
      <c r="T174" s="354">
        <v>0.04</v>
      </c>
      <c r="U174" s="190"/>
      <c r="W174" s="140"/>
      <c r="X174" s="184"/>
      <c r="Y174" s="140" t="str">
        <f>$Y$13</f>
        <v>Damwand, kunststof vezelversterkt</v>
      </c>
    </row>
    <row r="175" spans="1:25" s="205" customFormat="1" ht="14.25" customHeight="1" x14ac:dyDescent="0.2">
      <c r="A175" s="196">
        <f t="shared" ref="A175" si="177">C175</f>
        <v>5</v>
      </c>
      <c r="B175" s="197" t="s">
        <v>129</v>
      </c>
      <c r="C175" s="198">
        <f t="shared" ref="C175" si="178">IF(B175=B174,C174,C174+1)</f>
        <v>5</v>
      </c>
      <c r="D175" s="199">
        <f t="shared" ref="D175" si="179">F175</f>
        <v>26</v>
      </c>
      <c r="E175" s="231" t="s">
        <v>220</v>
      </c>
      <c r="F175" s="200">
        <f t="shared" ref="F175" si="180">IF(E175=E174,F174,F174+1)</f>
        <v>26</v>
      </c>
      <c r="G175" s="201"/>
      <c r="H175" s="231" t="s">
        <v>658</v>
      </c>
      <c r="I175" s="321">
        <v>171</v>
      </c>
      <c r="J175" s="202" t="s">
        <v>49</v>
      </c>
      <c r="K175" s="331">
        <f>K$14</f>
        <v>-9.4626552786749585E-2</v>
      </c>
      <c r="L175" s="331">
        <f>L$14</f>
        <v>-0.12859332378676869</v>
      </c>
      <c r="M175" s="342">
        <f>M$14</f>
        <v>23.442067999999999</v>
      </c>
      <c r="N175" s="342">
        <f t="shared" ref="N175:Y175" si="181">N$14</f>
        <v>0.39070113333333334</v>
      </c>
      <c r="O175" s="342">
        <f t="shared" si="181"/>
        <v>0.39070113333333334</v>
      </c>
      <c r="P175" s="203">
        <f t="shared" si="181"/>
        <v>60</v>
      </c>
      <c r="Q175" s="203">
        <f t="shared" si="181"/>
        <v>100</v>
      </c>
      <c r="R175" s="488">
        <f t="shared" si="181"/>
        <v>40</v>
      </c>
      <c r="S175" s="354">
        <f t="shared" si="181"/>
        <v>1</v>
      </c>
      <c r="T175" s="354">
        <v>0.04</v>
      </c>
      <c r="U175" s="190"/>
      <c r="V175" s="140">
        <f t="shared" si="181"/>
        <v>0</v>
      </c>
      <c r="W175" s="184"/>
      <c r="X175" s="184"/>
      <c r="Y175" s="140" t="str">
        <f t="shared" si="181"/>
        <v>GVK, glasvezels in polyester, biobased hars</v>
      </c>
    </row>
    <row r="176" spans="1:25" s="205" customFormat="1" ht="14.25" customHeight="1" x14ac:dyDescent="0.2">
      <c r="A176" s="196">
        <f t="shared" si="174"/>
        <v>5</v>
      </c>
      <c r="B176" s="197" t="s">
        <v>129</v>
      </c>
      <c r="C176" s="198">
        <f>IF(B176=B174,C174,C174+1)</f>
        <v>5</v>
      </c>
      <c r="D176" s="199">
        <f t="shared" si="176"/>
        <v>26</v>
      </c>
      <c r="E176" s="231" t="s">
        <v>220</v>
      </c>
      <c r="F176" s="200">
        <f>IF(E176=E174,F174,F174+1)</f>
        <v>26</v>
      </c>
      <c r="G176" s="201"/>
      <c r="H176" s="231" t="s">
        <v>159</v>
      </c>
      <c r="I176" s="321">
        <v>172</v>
      </c>
      <c r="J176" s="202" t="s">
        <v>49</v>
      </c>
      <c r="K176" s="292">
        <f>$K$15</f>
        <v>0.22982313000735932</v>
      </c>
      <c r="L176" s="331">
        <f>L$15</f>
        <v>0.20592418355301723</v>
      </c>
      <c r="M176" s="342">
        <f>M$15</f>
        <v>20.617235294117645</v>
      </c>
      <c r="N176" s="342">
        <f t="shared" si="160"/>
        <v>0.27489647058823524</v>
      </c>
      <c r="O176" s="342">
        <f>O$15</f>
        <v>0.27489647058823524</v>
      </c>
      <c r="P176" s="203">
        <f>$P$15</f>
        <v>75</v>
      </c>
      <c r="Q176" s="203">
        <f>'Invoer en resultaat'!$H$9</f>
        <v>100</v>
      </c>
      <c r="R176" s="203">
        <f t="shared" si="162"/>
        <v>25</v>
      </c>
      <c r="S176" s="357">
        <f>$S$15</f>
        <v>1</v>
      </c>
      <c r="T176" s="354">
        <v>0.01</v>
      </c>
      <c r="U176" s="190">
        <v>0</v>
      </c>
      <c r="V176" s="140"/>
      <c r="W176" s="140" t="s">
        <v>653</v>
      </c>
      <c r="X176" s="140"/>
      <c r="Y176" s="140" t="str">
        <f>$Y$15</f>
        <v>Damwand Staal, constructiestaal</v>
      </c>
    </row>
    <row r="177" spans="1:25" s="205" customFormat="1" ht="14.25" customHeight="1" x14ac:dyDescent="0.2">
      <c r="A177" s="196">
        <f t="shared" si="174"/>
        <v>5</v>
      </c>
      <c r="B177" s="197" t="s">
        <v>129</v>
      </c>
      <c r="C177" s="198">
        <f t="shared" si="175"/>
        <v>5</v>
      </c>
      <c r="D177" s="199">
        <f t="shared" si="176"/>
        <v>26</v>
      </c>
      <c r="E177" s="231" t="s">
        <v>220</v>
      </c>
      <c r="F177" s="200">
        <f t="shared" si="138"/>
        <v>26</v>
      </c>
      <c r="G177" s="201"/>
      <c r="H177" s="231" t="s">
        <v>160</v>
      </c>
      <c r="I177" s="321">
        <v>173</v>
      </c>
      <c r="J177" s="202" t="s">
        <v>49</v>
      </c>
      <c r="K177" s="292">
        <f>$K$16</f>
        <v>0.22982313000735932</v>
      </c>
      <c r="L177" s="331">
        <f>L$16</f>
        <v>0.20592418355301723</v>
      </c>
      <c r="M177" s="342">
        <f>M$16</f>
        <v>20.617235294117645</v>
      </c>
      <c r="N177" s="342">
        <f t="shared" si="160"/>
        <v>0.27489647058823524</v>
      </c>
      <c r="O177" s="342">
        <f>O$16</f>
        <v>0.27489647058823524</v>
      </c>
      <c r="P177" s="203">
        <f>$P$16</f>
        <v>75</v>
      </c>
      <c r="Q177" s="203">
        <f>'Invoer en resultaat'!$H$9</f>
        <v>100</v>
      </c>
      <c r="R177" s="203">
        <f t="shared" si="162"/>
        <v>25</v>
      </c>
      <c r="S177" s="357">
        <f>$S$16</f>
        <v>1</v>
      </c>
      <c r="T177" s="354">
        <v>0.01</v>
      </c>
      <c r="U177" s="190">
        <v>0</v>
      </c>
      <c r="V177" s="140"/>
      <c r="W177" s="140" t="s">
        <v>653</v>
      </c>
      <c r="X177" s="140"/>
      <c r="Y177" s="140" t="str">
        <f>$Y$16</f>
        <v>Damwand Staal, constructiestaal</v>
      </c>
    </row>
    <row r="178" spans="1:25" s="205" customFormat="1" ht="14.25" customHeight="1" x14ac:dyDescent="0.2">
      <c r="A178" s="196">
        <f t="shared" si="174"/>
        <v>5</v>
      </c>
      <c r="B178" s="197" t="s">
        <v>129</v>
      </c>
      <c r="C178" s="198">
        <f t="shared" si="175"/>
        <v>5</v>
      </c>
      <c r="D178" s="199">
        <f t="shared" si="176"/>
        <v>26</v>
      </c>
      <c r="E178" s="231" t="s">
        <v>220</v>
      </c>
      <c r="F178" s="200">
        <f t="shared" si="138"/>
        <v>26</v>
      </c>
      <c r="G178" s="201"/>
      <c r="H178" s="231" t="s">
        <v>161</v>
      </c>
      <c r="I178" s="321">
        <v>174</v>
      </c>
      <c r="J178" s="202" t="s">
        <v>49</v>
      </c>
      <c r="K178" s="292">
        <f>$K$17</f>
        <v>-0.38631836598675329</v>
      </c>
      <c r="L178" s="331">
        <f>L$17</f>
        <v>-0.42933646960456895</v>
      </c>
      <c r="M178" s="342">
        <f>M$17</f>
        <v>24.740682352941171</v>
      </c>
      <c r="N178" s="342">
        <f t="shared" si="160"/>
        <v>0.49481364705882341</v>
      </c>
      <c r="O178" s="342">
        <f>O$17</f>
        <v>0.49481364705882341</v>
      </c>
      <c r="P178" s="203">
        <f>$P$17</f>
        <v>50</v>
      </c>
      <c r="Q178" s="203">
        <f>'Invoer en resultaat'!$H$9</f>
        <v>100</v>
      </c>
      <c r="R178" s="203">
        <f t="shared" si="162"/>
        <v>50</v>
      </c>
      <c r="S178" s="357">
        <f>$S$17</f>
        <v>1</v>
      </c>
      <c r="T178" s="354">
        <v>1.2E-2</v>
      </c>
      <c r="U178" s="190">
        <v>0</v>
      </c>
      <c r="V178" s="140"/>
      <c r="W178" s="140" t="s">
        <v>653</v>
      </c>
      <c r="X178" s="140"/>
      <c r="Y178" s="140" t="str">
        <f>$Y$17</f>
        <v>Damwand Staal, constructiestaal</v>
      </c>
    </row>
    <row r="179" spans="1:25" s="205" customFormat="1" ht="14.25" customHeight="1" x14ac:dyDescent="0.2">
      <c r="A179" s="196">
        <f t="shared" ref="A179" si="182">C179</f>
        <v>5</v>
      </c>
      <c r="B179" s="197" t="s">
        <v>129</v>
      </c>
      <c r="C179" s="198">
        <f t="shared" ref="C179" si="183">IF(B179=B178,C178,C178+1)</f>
        <v>5</v>
      </c>
      <c r="D179" s="199">
        <f t="shared" ref="D179" si="184">F179</f>
        <v>26</v>
      </c>
      <c r="E179" s="231" t="s">
        <v>220</v>
      </c>
      <c r="F179" s="200">
        <f t="shared" ref="F179" si="185">IF(E179=E178,F178,F178+1)</f>
        <v>26</v>
      </c>
      <c r="G179" s="201"/>
      <c r="H179" s="231" t="str">
        <f>$H$18</f>
        <v>beton, 30% granulaat</v>
      </c>
      <c r="I179" s="321">
        <v>175</v>
      </c>
      <c r="J179" s="202" t="str">
        <f>$J$18</f>
        <v>m2</v>
      </c>
      <c r="K179" s="292">
        <f>$K$17</f>
        <v>-0.38631836598675329</v>
      </c>
      <c r="L179" s="331">
        <f>L$18</f>
        <v>0.79213237805656589</v>
      </c>
      <c r="M179" s="342">
        <f>M18</f>
        <v>5.3970358785288726</v>
      </c>
      <c r="N179" s="342">
        <f t="shared" si="160"/>
        <v>7.1960478380384968E-2</v>
      </c>
      <c r="O179" s="342">
        <f>O18</f>
        <v>7.1960478380384968E-2</v>
      </c>
      <c r="P179" s="203">
        <f>P18</f>
        <v>75</v>
      </c>
      <c r="Q179" s="203">
        <f>Q18</f>
        <v>100</v>
      </c>
      <c r="R179" s="203">
        <f t="shared" si="162"/>
        <v>25</v>
      </c>
      <c r="S179" s="357">
        <f>S18</f>
        <v>1</v>
      </c>
      <c r="T179" s="354">
        <v>0.12</v>
      </c>
      <c r="U179" s="190"/>
      <c r="V179" s="140">
        <f>V18</f>
        <v>0</v>
      </c>
      <c r="W179" s="140"/>
      <c r="X179" s="140"/>
      <c r="Y179" s="140" t="str">
        <f>Y18</f>
        <v>Damwand, Beton 30% granulaat</v>
      </c>
    </row>
    <row r="180" spans="1:25" s="220" customFormat="1" ht="14.25" customHeight="1" x14ac:dyDescent="0.2">
      <c r="A180" s="208">
        <f>C180</f>
        <v>5</v>
      </c>
      <c r="B180" s="209" t="s">
        <v>129</v>
      </c>
      <c r="C180" s="210">
        <f>IF(B180=B178,C178,C178+1)</f>
        <v>5</v>
      </c>
      <c r="D180" s="211">
        <f>F180</f>
        <v>26</v>
      </c>
      <c r="E180" s="232" t="s">
        <v>220</v>
      </c>
      <c r="F180" s="213">
        <f>IF(E180=E178,F178,F178+1)</f>
        <v>26</v>
      </c>
      <c r="G180" s="214"/>
      <c r="H180" s="232" t="s">
        <v>1</v>
      </c>
      <c r="I180" s="321">
        <v>176</v>
      </c>
      <c r="J180" s="215" t="s">
        <v>49</v>
      </c>
      <c r="K180" s="296">
        <f>$K$19</f>
        <v>0.79765126719986634</v>
      </c>
      <c r="L180" s="331">
        <f>L$19</f>
        <v>0.7913722919167725</v>
      </c>
      <c r="M180" s="345">
        <f>M$19</f>
        <v>5.4167706122448971</v>
      </c>
      <c r="N180" s="345">
        <f>IFERROR(IF(Q180&lt;P180,M180/Q180,M180/P180),"")</f>
        <v>7.2223608163265299E-2</v>
      </c>
      <c r="O180" s="345">
        <f>O$19</f>
        <v>7.2223608163265299E-2</v>
      </c>
      <c r="P180" s="216">
        <f>$P$19</f>
        <v>75</v>
      </c>
      <c r="Q180" s="203">
        <f>'Invoer en resultaat'!$H$9</f>
        <v>100</v>
      </c>
      <c r="R180" s="203">
        <f>Q180-P180</f>
        <v>25</v>
      </c>
      <c r="S180" s="358">
        <f>$S$19</f>
        <v>1</v>
      </c>
      <c r="T180" s="359">
        <v>0.12</v>
      </c>
      <c r="U180" s="217">
        <v>0</v>
      </c>
      <c r="V180" s="229">
        <f>$V$19</f>
        <v>0</v>
      </c>
      <c r="W180" s="229"/>
      <c r="X180" s="219"/>
      <c r="Y180" s="229" t="str">
        <f>Y19</f>
        <v>Damwand, Beton</v>
      </c>
    </row>
    <row r="181" spans="1:25" s="510" customFormat="1" x14ac:dyDescent="0.2">
      <c r="A181" s="494">
        <f>C181</f>
        <v>5</v>
      </c>
      <c r="B181" s="495" t="str">
        <f>B180</f>
        <v>Vispassage</v>
      </c>
      <c r="C181" s="496">
        <f>IF(B181=B180,C180,C180+1)</f>
        <v>5</v>
      </c>
      <c r="D181" s="497">
        <f>F181</f>
        <v>26</v>
      </c>
      <c r="E181" s="232" t="str">
        <f>E180</f>
        <v>Damwandplanken (in oever, op waterlijn)</v>
      </c>
      <c r="F181" s="213">
        <f>IF(E181=E180,F180,F180+1)</f>
        <v>26</v>
      </c>
      <c r="G181" s="214"/>
      <c r="H181" s="232" t="s">
        <v>669</v>
      </c>
      <c r="I181" s="321">
        <v>177</v>
      </c>
      <c r="J181" s="501" t="s">
        <v>49</v>
      </c>
      <c r="K181" s="502"/>
      <c r="L181" s="503"/>
      <c r="M181" s="504"/>
      <c r="N181" s="504"/>
      <c r="O181" s="504"/>
      <c r="P181" s="505">
        <v>50</v>
      </c>
      <c r="Q181" s="513">
        <f>'Invoer en resultaat'!$H$9</f>
        <v>100</v>
      </c>
      <c r="R181" s="513">
        <f>Q181-P181</f>
        <v>50</v>
      </c>
      <c r="S181" s="514">
        <f>IF(Q181&lt;P181,0,ROUNDDOWN(Q181/P181-0.01,0))</f>
        <v>1</v>
      </c>
      <c r="T181" s="506"/>
      <c r="U181" s="507"/>
      <c r="V181" s="508" t="s">
        <v>668</v>
      </c>
      <c r="W181" s="509"/>
      <c r="X181" s="509"/>
      <c r="Y181" s="509"/>
    </row>
    <row r="182" spans="1:25" s="205" customFormat="1" ht="14.25" customHeight="1" x14ac:dyDescent="0.2">
      <c r="A182" s="196">
        <f t="shared" si="174"/>
        <v>5</v>
      </c>
      <c r="B182" s="197" t="s">
        <v>129</v>
      </c>
      <c r="C182" s="198">
        <f>IF(B182=B180,C180,C180+1)</f>
        <v>5</v>
      </c>
      <c r="D182" s="199">
        <f t="shared" si="176"/>
        <v>27</v>
      </c>
      <c r="E182" s="205" t="s">
        <v>23</v>
      </c>
      <c r="F182" s="200">
        <f>IF(E182=E180,F180,F180+1)</f>
        <v>27</v>
      </c>
      <c r="G182" s="201"/>
      <c r="H182" s="205" t="s">
        <v>123</v>
      </c>
      <c r="I182" s="321">
        <v>178</v>
      </c>
      <c r="J182" s="202" t="s">
        <v>49</v>
      </c>
      <c r="K182" s="292">
        <f>1-(N182/AVERAGE($N$362:$N$368))</f>
        <v>0.4450052888862287</v>
      </c>
      <c r="L182" s="331">
        <f>IF(K182&gt;-1,1-(O182/AVERAGE($O$182:$O$188)),1-(O182/AVERAGE($N$182:$N$188)))</f>
        <v>0.39553503692894687</v>
      </c>
      <c r="M182" s="342">
        <f>T182*'MKI-waarden'!$D$79</f>
        <v>1.9148035000000003</v>
      </c>
      <c r="N182" s="342">
        <f t="shared" si="160"/>
        <v>1.9148035000000004E-2</v>
      </c>
      <c r="O182" s="342">
        <f>IF(K182&lt;-1,(2*AVERAGE($N$182:$N$188)),N182)</f>
        <v>1.9148035000000004E-2</v>
      </c>
      <c r="P182" s="203">
        <v>100</v>
      </c>
      <c r="Q182" s="203">
        <f>'Invoer en resultaat'!$H$9</f>
        <v>100</v>
      </c>
      <c r="R182" s="203">
        <f t="shared" si="162"/>
        <v>0</v>
      </c>
      <c r="S182" s="357">
        <f t="shared" ref="S182:S187" si="186">IF(Q182&lt;P182,0,ROUNDDOWN(Q182/P182-0.01,0))</f>
        <v>0</v>
      </c>
      <c r="T182" s="354">
        <v>0.5</v>
      </c>
      <c r="U182" s="190">
        <v>0</v>
      </c>
      <c r="V182" s="140"/>
      <c r="W182" s="140"/>
      <c r="X182" s="140"/>
      <c r="Y182" s="140" t="str">
        <f>'MKI-waarden'!$A$79</f>
        <v>Ophoogmateriaal klei</v>
      </c>
    </row>
    <row r="183" spans="1:25" s="205" customFormat="1" ht="14.25" customHeight="1" x14ac:dyDescent="0.2">
      <c r="A183" s="196">
        <f t="shared" si="174"/>
        <v>5</v>
      </c>
      <c r="B183" s="197" t="s">
        <v>129</v>
      </c>
      <c r="C183" s="198">
        <f t="shared" ref="C183:C195" si="187">IF(B183=B182,C182,C182+1)</f>
        <v>5</v>
      </c>
      <c r="D183" s="199">
        <f t="shared" si="176"/>
        <v>27</v>
      </c>
      <c r="E183" s="205" t="s">
        <v>23</v>
      </c>
      <c r="F183" s="200">
        <f t="shared" ref="F183:F253" si="188">IF(E183=E182,F182,F182+1)</f>
        <v>27</v>
      </c>
      <c r="G183" s="201"/>
      <c r="H183" s="205" t="s">
        <v>121</v>
      </c>
      <c r="I183" s="321">
        <v>179</v>
      </c>
      <c r="J183" s="202" t="s">
        <v>49</v>
      </c>
      <c r="K183" s="292"/>
      <c r="L183" s="331"/>
      <c r="M183" s="347" t="s">
        <v>257</v>
      </c>
      <c r="N183" s="347" t="str">
        <f t="shared" si="160"/>
        <v/>
      </c>
      <c r="O183" s="347"/>
      <c r="P183" s="203">
        <v>40</v>
      </c>
      <c r="Q183" s="203">
        <f>'Invoer en resultaat'!$H$9</f>
        <v>100</v>
      </c>
      <c r="R183" s="203">
        <f t="shared" si="162"/>
        <v>60</v>
      </c>
      <c r="S183" s="357">
        <f t="shared" si="186"/>
        <v>2</v>
      </c>
      <c r="T183" s="354">
        <v>0.03</v>
      </c>
      <c r="U183" s="190">
        <v>0</v>
      </c>
      <c r="V183" s="274" t="s">
        <v>665</v>
      </c>
      <c r="W183" s="140"/>
      <c r="X183" s="140"/>
      <c r="Y183" s="140"/>
    </row>
    <row r="184" spans="1:25" s="205" customFormat="1" ht="14.25" customHeight="1" x14ac:dyDescent="0.2">
      <c r="A184" s="196">
        <f t="shared" si="174"/>
        <v>5</v>
      </c>
      <c r="B184" s="197" t="s">
        <v>129</v>
      </c>
      <c r="C184" s="198">
        <f>IF(B184=B183,C183,C183+1)</f>
        <v>5</v>
      </c>
      <c r="D184" s="199">
        <f t="shared" si="176"/>
        <v>27</v>
      </c>
      <c r="E184" s="205" t="s">
        <v>23</v>
      </c>
      <c r="F184" s="200">
        <f>IF(E184=E183,F183,F183+1)</f>
        <v>27</v>
      </c>
      <c r="G184" s="201"/>
      <c r="H184" s="205" t="s">
        <v>122</v>
      </c>
      <c r="I184" s="321">
        <v>180</v>
      </c>
      <c r="J184" s="221" t="s">
        <v>49</v>
      </c>
      <c r="K184" s="292">
        <f>1-(N184/AVERAGE($N$362:$N$368))</f>
        <v>0.60737703076335803</v>
      </c>
      <c r="L184" s="331">
        <f>IF(K184&gt;-1,1-(O184/AVERAGE($O$182:$O$188)),1-(O184/AVERAGE($N$182:$N$188)))</f>
        <v>0.57238001759655843</v>
      </c>
      <c r="M184" s="342">
        <f>'MKI-waarden'!D14</f>
        <v>0.27091999999999999</v>
      </c>
      <c r="N184" s="342">
        <f t="shared" si="160"/>
        <v>1.3545999999999999E-2</v>
      </c>
      <c r="O184" s="342">
        <f>IF(K184&lt;-1,(2*AVERAGE($N$182:$N$188)),N184)</f>
        <v>1.3545999999999999E-2</v>
      </c>
      <c r="P184" s="203">
        <v>20</v>
      </c>
      <c r="Q184" s="203">
        <f>'Invoer en resultaat'!$H$9</f>
        <v>100</v>
      </c>
      <c r="R184" s="203">
        <f t="shared" si="162"/>
        <v>80</v>
      </c>
      <c r="S184" s="357">
        <f t="shared" si="186"/>
        <v>4</v>
      </c>
      <c r="T184" s="354">
        <v>0.04</v>
      </c>
      <c r="U184" s="190">
        <v>0</v>
      </c>
      <c r="V184" s="140" t="s">
        <v>336</v>
      </c>
      <c r="W184" s="140"/>
      <c r="X184" s="184"/>
      <c r="Y184" s="140" t="str">
        <f>Y135</f>
        <v>Kokosvezeldoek</v>
      </c>
    </row>
    <row r="185" spans="1:25" s="205" customFormat="1" ht="14.25" customHeight="1" x14ac:dyDescent="0.2">
      <c r="A185" s="196">
        <f t="shared" si="174"/>
        <v>5</v>
      </c>
      <c r="B185" s="197" t="s">
        <v>129</v>
      </c>
      <c r="C185" s="198">
        <f t="shared" si="187"/>
        <v>5</v>
      </c>
      <c r="D185" s="199">
        <f t="shared" si="176"/>
        <v>27</v>
      </c>
      <c r="E185" s="205" t="s">
        <v>23</v>
      </c>
      <c r="F185" s="200">
        <f t="shared" si="188"/>
        <v>27</v>
      </c>
      <c r="G185" s="201"/>
      <c r="H185" s="205" t="s">
        <v>107</v>
      </c>
      <c r="I185" s="321">
        <v>181</v>
      </c>
      <c r="J185" s="202" t="s">
        <v>49</v>
      </c>
      <c r="K185" s="292">
        <f>1-(N185/AVERAGE($N$362:$N$368))</f>
        <v>-4.2940243797085387E-2</v>
      </c>
      <c r="L185" s="331">
        <f>IF(K185&gt;-1,1-(O185/AVERAGE($O$182:$O$188)),1-(O185/AVERAGE($N$182:$N$188)))</f>
        <v>-0.13590422273931746</v>
      </c>
      <c r="M185" s="342">
        <f>T185*'MKI-waarden'!D21</f>
        <v>2.698709</v>
      </c>
      <c r="N185" s="342">
        <f t="shared" si="160"/>
        <v>3.5982786666666669E-2</v>
      </c>
      <c r="O185" s="342">
        <f>IF(K185&lt;-1,(2*AVERAGE($N$182:$N$188)),N185)</f>
        <v>3.5982786666666669E-2</v>
      </c>
      <c r="P185" s="203">
        <v>75</v>
      </c>
      <c r="Q185" s="203">
        <f>'Invoer en resultaat'!$H$9</f>
        <v>100</v>
      </c>
      <c r="R185" s="203">
        <f t="shared" si="162"/>
        <v>25</v>
      </c>
      <c r="S185" s="357">
        <f t="shared" si="186"/>
        <v>1</v>
      </c>
      <c r="T185" s="354">
        <v>0.1</v>
      </c>
      <c r="U185" s="190">
        <v>0</v>
      </c>
      <c r="V185" s="140"/>
      <c r="W185" s="140"/>
      <c r="X185" s="140"/>
      <c r="Y185" s="140" t="str">
        <f>'MKI-waarden'!$A$31</f>
        <v>Damwand, Beton</v>
      </c>
    </row>
    <row r="186" spans="1:25" s="205" customFormat="1" ht="14.25" customHeight="1" x14ac:dyDescent="0.2">
      <c r="A186" s="196">
        <f t="shared" si="174"/>
        <v>5</v>
      </c>
      <c r="B186" s="197" t="s">
        <v>129</v>
      </c>
      <c r="C186" s="198">
        <f t="shared" si="187"/>
        <v>5</v>
      </c>
      <c r="D186" s="199">
        <f t="shared" si="176"/>
        <v>27</v>
      </c>
      <c r="E186" s="205" t="s">
        <v>23</v>
      </c>
      <c r="F186" s="200">
        <f t="shared" si="188"/>
        <v>27</v>
      </c>
      <c r="G186" s="201"/>
      <c r="H186" s="205" t="s">
        <v>108</v>
      </c>
      <c r="I186" s="321">
        <v>182</v>
      </c>
      <c r="J186" s="202" t="s">
        <v>49</v>
      </c>
      <c r="K186" s="292">
        <f>1-(N186/AVERAGE($N$362:$N$368))</f>
        <v>0.61904905717053327</v>
      </c>
      <c r="L186" s="331">
        <f>IF(K186&gt;-1,1-(O186/AVERAGE($O$182:$O$188)),1-(O186/AVERAGE($N$182:$N$188)))</f>
        <v>0.58509244686821549</v>
      </c>
      <c r="M186" s="342">
        <f>T186/'MKI-waarden'!$N$18*'MKI-waarden'!$D$18</f>
        <v>1.3143299999999998</v>
      </c>
      <c r="N186" s="342">
        <f t="shared" si="160"/>
        <v>1.3143299999999998E-2</v>
      </c>
      <c r="O186" s="342">
        <f>IF(K186&lt;-1,(2*AVERAGE($N$182:$N$188)),N186)</f>
        <v>1.3143299999999998E-2</v>
      </c>
      <c r="P186" s="203">
        <v>100</v>
      </c>
      <c r="Q186" s="203">
        <f>'Invoer en resultaat'!$H$9</f>
        <v>100</v>
      </c>
      <c r="R186" s="203">
        <f t="shared" si="162"/>
        <v>0</v>
      </c>
      <c r="S186" s="357">
        <f t="shared" si="186"/>
        <v>0</v>
      </c>
      <c r="T186" s="354">
        <v>0.2</v>
      </c>
      <c r="U186" s="190">
        <v>0</v>
      </c>
      <c r="V186" s="140"/>
      <c r="W186" s="140"/>
      <c r="X186" s="140"/>
      <c r="Y186" s="140" t="str">
        <f>'MKI-waarden'!$A$18</f>
        <v>Bekleding, waterbouw steenbreuksteen natuursteen</v>
      </c>
    </row>
    <row r="187" spans="1:25" s="205" customFormat="1" ht="14.25" customHeight="1" x14ac:dyDescent="0.2">
      <c r="A187" s="196">
        <f t="shared" si="174"/>
        <v>5</v>
      </c>
      <c r="B187" s="197" t="s">
        <v>129</v>
      </c>
      <c r="C187" s="198">
        <f t="shared" si="187"/>
        <v>5</v>
      </c>
      <c r="D187" s="199">
        <f t="shared" si="176"/>
        <v>27</v>
      </c>
      <c r="E187" s="205" t="s">
        <v>23</v>
      </c>
      <c r="F187" s="200">
        <f t="shared" si="188"/>
        <v>27</v>
      </c>
      <c r="G187" s="201"/>
      <c r="H187" s="205" t="s">
        <v>102</v>
      </c>
      <c r="I187" s="321">
        <v>183</v>
      </c>
      <c r="J187" s="202" t="s">
        <v>49</v>
      </c>
      <c r="K187" s="292">
        <f>1-(N187/AVERAGE($N$362:$N$368))</f>
        <v>-0.25152829255650255</v>
      </c>
      <c r="L187" s="331">
        <f>IF(K187&gt;-1,1-(O187/AVERAGE($O$182:$O$188)),1-(O187/AVERAGE($N$182:$N$188)))</f>
        <v>-0.36308506728718082</v>
      </c>
      <c r="M187" s="342">
        <f>T187*'MKI-waarden'!D21</f>
        <v>3.2384507999999999</v>
      </c>
      <c r="N187" s="342">
        <f t="shared" si="160"/>
        <v>4.3179344000000001E-2</v>
      </c>
      <c r="O187" s="342">
        <f>IF(K187&lt;-1,(2*AVERAGE($N$182:$N$188)),N187)</f>
        <v>4.3179344000000001E-2</v>
      </c>
      <c r="P187" s="203">
        <v>75</v>
      </c>
      <c r="Q187" s="203">
        <f>'Invoer en resultaat'!$H$9</f>
        <v>100</v>
      </c>
      <c r="R187" s="203">
        <f t="shared" si="162"/>
        <v>25</v>
      </c>
      <c r="S187" s="357">
        <f t="shared" si="186"/>
        <v>1</v>
      </c>
      <c r="T187" s="354">
        <v>0.12</v>
      </c>
      <c r="U187" s="190">
        <v>0</v>
      </c>
      <c r="V187" s="140"/>
      <c r="W187" s="140"/>
      <c r="X187" s="140"/>
      <c r="Y187" s="140" t="str">
        <f>'MKI-waarden'!$A$31</f>
        <v>Damwand, Beton</v>
      </c>
    </row>
    <row r="188" spans="1:25" s="220" customFormat="1" ht="14.25" customHeight="1" x14ac:dyDescent="0.2">
      <c r="A188" s="208">
        <f>C188</f>
        <v>5</v>
      </c>
      <c r="B188" s="209" t="s">
        <v>129</v>
      </c>
      <c r="C188" s="210">
        <f>IF(B188=B187,C187,C187+1)</f>
        <v>5</v>
      </c>
      <c r="D188" s="211">
        <f>F188</f>
        <v>27</v>
      </c>
      <c r="E188" s="220" t="s">
        <v>23</v>
      </c>
      <c r="F188" s="213">
        <f>IF(E188=E187,F187,F187+1)</f>
        <v>27</v>
      </c>
      <c r="G188" s="214"/>
      <c r="H188" s="220" t="s">
        <v>584</v>
      </c>
      <c r="I188" s="321">
        <v>184</v>
      </c>
      <c r="J188" s="215" t="s">
        <v>49</v>
      </c>
      <c r="K188" s="296">
        <f>1-(N188/AVERAGE($N$362:$N$368))</f>
        <v>-1.034706366485477</v>
      </c>
      <c r="L188" s="332">
        <f>IF(K188&gt;-1,1-(O188/AVERAGE($O$182:$O$188)),1-(O188/AVERAGE($N$182:$N$188)))</f>
        <v>-1</v>
      </c>
      <c r="M188" s="345">
        <f>T188/'MKI-waarden'!N129*'MKI-waarden'!D129</f>
        <v>7.0200000000000005</v>
      </c>
      <c r="N188" s="345">
        <f>IFERROR(IF(Q188&lt;P188,M188/Q188,M188/P188),"")</f>
        <v>7.0199999999999999E-2</v>
      </c>
      <c r="O188" s="345">
        <f>IF(K188&lt;-1,(2*AVERAGE($N$182:$N$188)),N188)</f>
        <v>6.5066488555555566E-2</v>
      </c>
      <c r="P188" s="216">
        <v>100</v>
      </c>
      <c r="Q188" s="216">
        <f>'Invoer en resultaat'!$H$9</f>
        <v>100</v>
      </c>
      <c r="R188" s="216">
        <f>Q188-P188</f>
        <v>0</v>
      </c>
      <c r="S188" s="358">
        <f>IF(Q188&lt;P188,0,ROUNDDOWN(Q188/P188-0.01,0))</f>
        <v>0</v>
      </c>
      <c r="T188" s="359">
        <v>0.3</v>
      </c>
      <c r="U188" s="217">
        <v>0</v>
      </c>
      <c r="V188" s="229"/>
      <c r="W188" s="229"/>
      <c r="X188" s="229"/>
      <c r="Y188" s="229" t="str">
        <f>'MKI-waarden'!$A$70</f>
        <v>Grondwerken, lichte ophoogmaterialen, BIMS (yali)</v>
      </c>
    </row>
    <row r="189" spans="1:25" s="510" customFormat="1" x14ac:dyDescent="0.2">
      <c r="A189" s="494">
        <f>C189</f>
        <v>5</v>
      </c>
      <c r="B189" s="495" t="str">
        <f>B188</f>
        <v>Vispassage</v>
      </c>
      <c r="C189" s="496">
        <f>IF(B189=B188,C188,C188+1)</f>
        <v>5</v>
      </c>
      <c r="D189" s="497">
        <f>F189</f>
        <v>27</v>
      </c>
      <c r="E189" s="498" t="str">
        <f>E188</f>
        <v>taludbekleding</v>
      </c>
      <c r="F189" s="499">
        <f>IF(E189=E188,F188,F188+1)</f>
        <v>27</v>
      </c>
      <c r="G189" s="500"/>
      <c r="H189" s="500" t="s">
        <v>670</v>
      </c>
      <c r="I189" s="321">
        <v>185</v>
      </c>
      <c r="J189" s="501" t="s">
        <v>49</v>
      </c>
      <c r="K189" s="502"/>
      <c r="L189" s="503"/>
      <c r="M189" s="504"/>
      <c r="N189" s="504"/>
      <c r="O189" s="504"/>
      <c r="P189" s="505">
        <v>100</v>
      </c>
      <c r="Q189" s="513">
        <f>'Invoer en resultaat'!$H$9</f>
        <v>100</v>
      </c>
      <c r="R189" s="513">
        <f>Q189-P189</f>
        <v>0</v>
      </c>
      <c r="S189" s="514"/>
      <c r="T189" s="506"/>
      <c r="U189" s="507"/>
      <c r="V189" s="508" t="s">
        <v>668</v>
      </c>
      <c r="W189" s="509"/>
      <c r="X189" s="509"/>
      <c r="Y189" s="509"/>
    </row>
    <row r="190" spans="1:25" s="205" customFormat="1" ht="14.25" customHeight="1" x14ac:dyDescent="0.2">
      <c r="A190" s="196">
        <f t="shared" si="174"/>
        <v>6</v>
      </c>
      <c r="B190" s="197" t="s">
        <v>364</v>
      </c>
      <c r="C190" s="198">
        <f>IF(B190='Innovatieve Duurzame opties'!B6,'Innovatieve Duurzame opties'!C6,'Innovatieve Duurzame opties'!C6+1)</f>
        <v>6</v>
      </c>
      <c r="D190" s="199">
        <f t="shared" si="176"/>
        <v>28</v>
      </c>
      <c r="E190" s="231" t="s">
        <v>62</v>
      </c>
      <c r="F190" s="200">
        <f>IF(E190=E188,F188,F188+1)</f>
        <v>28</v>
      </c>
      <c r="G190" s="201"/>
      <c r="H190" s="231" t="s">
        <v>90</v>
      </c>
      <c r="I190" s="321">
        <v>186</v>
      </c>
      <c r="J190" s="221" t="s">
        <v>50</v>
      </c>
      <c r="K190" s="292">
        <f>$K$55</f>
        <v>0.52190882455171894</v>
      </c>
      <c r="L190" s="331">
        <f>L$55</f>
        <v>0.26882353194751751</v>
      </c>
      <c r="M190" s="342">
        <f>M$55</f>
        <v>1.4737034161490683</v>
      </c>
      <c r="N190" s="342">
        <f t="shared" si="160"/>
        <v>2.9474068322981366E-2</v>
      </c>
      <c r="O190" s="342">
        <f>O$55</f>
        <v>2.9474068322981366E-2</v>
      </c>
      <c r="P190" s="203">
        <f>$P$55</f>
        <v>50</v>
      </c>
      <c r="Q190" s="203">
        <f>'Invoer en resultaat'!$H$9</f>
        <v>100</v>
      </c>
      <c r="R190" s="203">
        <f t="shared" si="162"/>
        <v>50</v>
      </c>
      <c r="S190" s="357">
        <f>$S$55</f>
        <v>1</v>
      </c>
      <c r="T190" s="354">
        <f>$T$55</f>
        <v>0</v>
      </c>
      <c r="U190" s="190">
        <f>$U$55</f>
        <v>0.15</v>
      </c>
      <c r="V190" s="140">
        <f>$V$55</f>
        <v>0</v>
      </c>
      <c r="W190" s="140">
        <f>$W$55</f>
        <v>0</v>
      </c>
      <c r="X190" s="140">
        <f>$X$55</f>
        <v>0</v>
      </c>
      <c r="Y190" s="140" t="str">
        <f>$Y$55</f>
        <v>Houten lariks paal met betonopzetter</v>
      </c>
    </row>
    <row r="191" spans="1:25" s="205" customFormat="1" ht="14.25" customHeight="1" x14ac:dyDescent="0.2">
      <c r="A191" s="196">
        <f t="shared" si="174"/>
        <v>6</v>
      </c>
      <c r="B191" s="197" t="s">
        <v>364</v>
      </c>
      <c r="C191" s="198">
        <f t="shared" si="187"/>
        <v>6</v>
      </c>
      <c r="D191" s="199">
        <f t="shared" si="176"/>
        <v>28</v>
      </c>
      <c r="E191" s="231" t="s">
        <v>62</v>
      </c>
      <c r="F191" s="200">
        <f t="shared" si="188"/>
        <v>28</v>
      </c>
      <c r="G191" s="201"/>
      <c r="H191" s="231" t="s">
        <v>4</v>
      </c>
      <c r="I191" s="321">
        <v>187</v>
      </c>
      <c r="J191" s="221" t="s">
        <v>50</v>
      </c>
      <c r="K191" s="292">
        <f>$K$56</f>
        <v>0.10571095814782272</v>
      </c>
      <c r="L191" s="331">
        <f>L$56</f>
        <v>-0.36769540334310014</v>
      </c>
      <c r="M191" s="342">
        <f>M$56</f>
        <v>5.5132446850393713</v>
      </c>
      <c r="N191" s="342">
        <f t="shared" si="160"/>
        <v>5.5132446850393715E-2</v>
      </c>
      <c r="O191" s="342">
        <f>O$56</f>
        <v>5.5132446850393715E-2</v>
      </c>
      <c r="P191" s="203">
        <f>$P$56</f>
        <v>100</v>
      </c>
      <c r="Q191" s="203">
        <f>'Invoer en resultaat'!$H$9</f>
        <v>100</v>
      </c>
      <c r="R191" s="203">
        <f t="shared" si="162"/>
        <v>0</v>
      </c>
      <c r="S191" s="357">
        <f>$S$56</f>
        <v>0</v>
      </c>
      <c r="T191" s="354">
        <f>$T$56</f>
        <v>0.01</v>
      </c>
      <c r="U191" s="190">
        <f>$U$56</f>
        <v>0.15</v>
      </c>
      <c r="V191" s="140">
        <f>$V$56</f>
        <v>0</v>
      </c>
      <c r="W191" s="140" t="str">
        <f>$W$56</f>
        <v>Holle buis met diameter: 150 mm</v>
      </c>
      <c r="X191" s="140">
        <f>$X$56</f>
        <v>0</v>
      </c>
      <c r="Y191" s="140" t="str">
        <f>$Y$56</f>
        <v>Buispaal, Staal</v>
      </c>
    </row>
    <row r="192" spans="1:25" s="205" customFormat="1" ht="14.25" customHeight="1" x14ac:dyDescent="0.2">
      <c r="A192" s="196">
        <f t="shared" si="174"/>
        <v>6</v>
      </c>
      <c r="B192" s="197" t="s">
        <v>364</v>
      </c>
      <c r="C192" s="198">
        <f t="shared" si="187"/>
        <v>6</v>
      </c>
      <c r="D192" s="199">
        <f t="shared" si="176"/>
        <v>28</v>
      </c>
      <c r="E192" s="231" t="s">
        <v>62</v>
      </c>
      <c r="F192" s="200">
        <f t="shared" si="188"/>
        <v>28</v>
      </c>
      <c r="G192" s="201"/>
      <c r="H192" s="231" t="s">
        <v>59</v>
      </c>
      <c r="I192" s="321">
        <v>188</v>
      </c>
      <c r="J192" s="221" t="s">
        <v>50</v>
      </c>
      <c r="K192" s="292">
        <f>$K$57</f>
        <v>-3.0768061090229342</v>
      </c>
      <c r="L192" s="331">
        <f>L$57</f>
        <v>-1</v>
      </c>
      <c r="M192" s="342">
        <f>M$57</f>
        <v>25.133294226613152</v>
      </c>
      <c r="N192" s="342">
        <f t="shared" si="160"/>
        <v>0.25133294226613151</v>
      </c>
      <c r="O192" s="342">
        <f>O$57</f>
        <v>0.12329894311621657</v>
      </c>
      <c r="P192" s="203">
        <f>$P$57</f>
        <v>100</v>
      </c>
      <c r="Q192" s="203">
        <f>'Invoer en resultaat'!$H$9</f>
        <v>100</v>
      </c>
      <c r="R192" s="203">
        <f t="shared" si="162"/>
        <v>0</v>
      </c>
      <c r="S192" s="357">
        <f>$S$57</f>
        <v>0</v>
      </c>
      <c r="T192" s="354">
        <f>$T$57</f>
        <v>0.01</v>
      </c>
      <c r="U192" s="190">
        <f>$U$57</f>
        <v>0.15</v>
      </c>
      <c r="V192" s="140">
        <f>$V$57</f>
        <v>0</v>
      </c>
      <c r="W192" s="140">
        <f>$W$57</f>
        <v>0</v>
      </c>
      <c r="X192" s="140">
        <f>$X$57</f>
        <v>0</v>
      </c>
      <c r="Y192" s="140" t="str">
        <f>$Y$57</f>
        <v>Funderingspaal met C20/25 0% betongranulaat Lafgarge Holcim Limburg</v>
      </c>
    </row>
    <row r="193" spans="1:25" s="205" customFormat="1" ht="14.25" customHeight="1" x14ac:dyDescent="0.2">
      <c r="A193" s="196">
        <f t="shared" ref="A193" si="189">C193</f>
        <v>6</v>
      </c>
      <c r="B193" s="197" t="s">
        <v>364</v>
      </c>
      <c r="C193" s="198">
        <f t="shared" ref="C193" si="190">IF(B193=B192,C192,C192+1)</f>
        <v>6</v>
      </c>
      <c r="D193" s="199">
        <f t="shared" ref="D193" si="191">F193</f>
        <v>28</v>
      </c>
      <c r="E193" s="231" t="s">
        <v>62</v>
      </c>
      <c r="F193" s="200">
        <f t="shared" ref="F193" si="192">IF(E193=E192,F192,F192+1)</f>
        <v>28</v>
      </c>
      <c r="G193" s="201"/>
      <c r="H193" s="231" t="s">
        <v>357</v>
      </c>
      <c r="I193" s="321">
        <v>189</v>
      </c>
      <c r="J193" s="221" t="s">
        <v>50</v>
      </c>
      <c r="K193" s="292">
        <f>1-(N193/AVERAGE($N$55:$N$60))</f>
        <v>0.78398881121688002</v>
      </c>
      <c r="L193" s="331">
        <f>IF(K193&gt;-1,1-(O193/AVERAGE($O$55:$O$60)),1-(O193/AVERAGE($N$55:$N$60)))</f>
        <v>0.66963979637113058</v>
      </c>
      <c r="M193" s="342">
        <f>M$58</f>
        <v>1.3316975639118114</v>
      </c>
      <c r="N193" s="342">
        <f t="shared" si="160"/>
        <v>1.3316975639118114E-2</v>
      </c>
      <c r="O193" s="342">
        <f t="shared" ref="O193:U193" si="193">O$58</f>
        <v>1.3316975639118114E-2</v>
      </c>
      <c r="P193" s="203">
        <f t="shared" si="193"/>
        <v>100</v>
      </c>
      <c r="Q193" s="203">
        <f>'Invoer en resultaat'!$H$9</f>
        <v>100</v>
      </c>
      <c r="R193" s="203">
        <f t="shared" si="162"/>
        <v>0</v>
      </c>
      <c r="S193" s="357">
        <f t="shared" si="193"/>
        <v>0</v>
      </c>
      <c r="T193" s="354">
        <f t="shared" si="193"/>
        <v>0</v>
      </c>
      <c r="U193" s="190">
        <f t="shared" si="193"/>
        <v>0.2</v>
      </c>
      <c r="V193" s="140"/>
      <c r="W193" s="140" t="str">
        <f>$W$58</f>
        <v>dikte is diameter</v>
      </c>
      <c r="X193" s="140">
        <f>$X$58</f>
        <v>0</v>
      </c>
      <c r="Y193" s="140" t="str">
        <f>$Y$58</f>
        <v>Betonmortel C20/25 CEM I 30% granulaat – in situ voor GWW</v>
      </c>
    </row>
    <row r="194" spans="1:25" s="205" customFormat="1" ht="14.25" customHeight="1" x14ac:dyDescent="0.2">
      <c r="A194" s="196">
        <f t="shared" si="174"/>
        <v>6</v>
      </c>
      <c r="B194" s="197" t="s">
        <v>364</v>
      </c>
      <c r="C194" s="198">
        <f>IF(B194=B192,C192,C192+1)</f>
        <v>6</v>
      </c>
      <c r="D194" s="199">
        <f t="shared" si="176"/>
        <v>28</v>
      </c>
      <c r="E194" s="231" t="s">
        <v>62</v>
      </c>
      <c r="F194" s="200">
        <f>IF(E194=E192,F192,F192+1)</f>
        <v>28</v>
      </c>
      <c r="G194" s="201"/>
      <c r="H194" s="231" t="s">
        <v>274</v>
      </c>
      <c r="I194" s="321">
        <v>190</v>
      </c>
      <c r="J194" s="221" t="s">
        <v>50</v>
      </c>
      <c r="K194" s="292">
        <f>$K$59</f>
        <v>0.87947110543834461</v>
      </c>
      <c r="L194" s="331">
        <f>L$59</f>
        <v>0.81566718661722137</v>
      </c>
      <c r="M194" s="342">
        <f>M$59</f>
        <v>0.74305426572090061</v>
      </c>
      <c r="N194" s="342">
        <f t="shared" si="160"/>
        <v>7.430542657209006E-3</v>
      </c>
      <c r="O194" s="342">
        <f>O$59</f>
        <v>7.430542657209006E-3</v>
      </c>
      <c r="P194" s="203">
        <f>$P$59</f>
        <v>100</v>
      </c>
      <c r="Q194" s="203">
        <f>'Invoer en resultaat'!$H$9</f>
        <v>100</v>
      </c>
      <c r="R194" s="203">
        <f t="shared" si="162"/>
        <v>0</v>
      </c>
      <c r="S194" s="357">
        <f>$S$59</f>
        <v>0</v>
      </c>
      <c r="T194" s="354">
        <f>$T$59</f>
        <v>0</v>
      </c>
      <c r="U194" s="190">
        <f>$U$59</f>
        <v>0.15</v>
      </c>
      <c r="V194" s="140">
        <f>$V$59</f>
        <v>0</v>
      </c>
      <c r="W194" s="140" t="str">
        <f>$W$59</f>
        <v>dikte is diameter</v>
      </c>
      <c r="X194" s="140">
        <f>$X$59</f>
        <v>0</v>
      </c>
      <c r="Y194" s="140" t="str">
        <f>$Y$59</f>
        <v>Betonmortel C20/25 (CEM I)</v>
      </c>
    </row>
    <row r="195" spans="1:25" s="220" customFormat="1" ht="14.25" customHeight="1" x14ac:dyDescent="0.2">
      <c r="A195" s="208">
        <f t="shared" si="174"/>
        <v>6</v>
      </c>
      <c r="B195" s="197" t="s">
        <v>364</v>
      </c>
      <c r="C195" s="210">
        <f t="shared" si="187"/>
        <v>6</v>
      </c>
      <c r="D195" s="211">
        <f t="shared" si="176"/>
        <v>28</v>
      </c>
      <c r="E195" s="232" t="s">
        <v>62</v>
      </c>
      <c r="F195" s="213">
        <f t="shared" si="188"/>
        <v>28</v>
      </c>
      <c r="G195" s="214"/>
      <c r="H195" s="232" t="s">
        <v>92</v>
      </c>
      <c r="I195" s="321">
        <v>191</v>
      </c>
      <c r="J195" s="228" t="s">
        <v>50</v>
      </c>
      <c r="K195" s="296">
        <f>$K$60</f>
        <v>0.7857264096681682</v>
      </c>
      <c r="L195" s="331">
        <f>L$60</f>
        <v>0.67229722065283815</v>
      </c>
      <c r="M195" s="345">
        <f>M$60</f>
        <v>1.3209853612816012</v>
      </c>
      <c r="N195" s="345">
        <f t="shared" si="160"/>
        <v>1.3209853612816012E-2</v>
      </c>
      <c r="O195" s="345">
        <f>O$60</f>
        <v>1.3209853612816012E-2</v>
      </c>
      <c r="P195" s="216">
        <f>$P$60</f>
        <v>100</v>
      </c>
      <c r="Q195" s="203">
        <f>'Invoer en resultaat'!$H$9</f>
        <v>100</v>
      </c>
      <c r="R195" s="203">
        <f t="shared" si="162"/>
        <v>0</v>
      </c>
      <c r="S195" s="358">
        <f>$S$60</f>
        <v>0</v>
      </c>
      <c r="T195" s="359">
        <f>$T$60</f>
        <v>0</v>
      </c>
      <c r="U195" s="217">
        <f>$U$60</f>
        <v>0.2</v>
      </c>
      <c r="V195" s="229">
        <f>$V$60</f>
        <v>0</v>
      </c>
      <c r="W195" s="140" t="str">
        <f>$W$60</f>
        <v>dikte is diameter</v>
      </c>
      <c r="X195" s="140">
        <f>$X$60</f>
        <v>0</v>
      </c>
      <c r="Y195" s="140" t="str">
        <f>$Y$60</f>
        <v>Betonmortel C20/25 (CEM I)</v>
      </c>
    </row>
    <row r="196" spans="1:25" s="205" customFormat="1" ht="14.25" customHeight="1" x14ac:dyDescent="0.2">
      <c r="A196" s="196">
        <f t="shared" ref="A196:A212" si="194">C196</f>
        <v>6</v>
      </c>
      <c r="B196" s="222" t="s">
        <v>364</v>
      </c>
      <c r="C196" s="198">
        <f>IF(B196=B169,C169,C169+1)</f>
        <v>6</v>
      </c>
      <c r="D196" s="199">
        <f t="shared" si="176"/>
        <v>29</v>
      </c>
      <c r="E196" s="175" t="s">
        <v>74</v>
      </c>
      <c r="F196" s="200">
        <f t="shared" si="188"/>
        <v>29</v>
      </c>
      <c r="G196" s="201"/>
      <c r="H196" s="175" t="s">
        <v>12</v>
      </c>
      <c r="I196" s="321">
        <v>192</v>
      </c>
      <c r="J196" s="202" t="s">
        <v>49</v>
      </c>
      <c r="K196" s="292">
        <f>1-(N196/AVERAGE($N$196:$N$200))</f>
        <v>-0.14061004777387387</v>
      </c>
      <c r="L196" s="331">
        <f>IF(K196&gt;-1,1-(O196/AVERAGE($O$196:$O$200)),1-(O196/AVERAGE($N$196:$N$200)))</f>
        <v>-0.14061004777387387</v>
      </c>
      <c r="M196" s="343">
        <f>T196/'MKI-waarden'!$N$33*'MKI-waarden'!$D$33</f>
        <v>2.003916666666667</v>
      </c>
      <c r="N196" s="342">
        <f t="shared" si="160"/>
        <v>0.20039166666666669</v>
      </c>
      <c r="O196" s="342">
        <f>IF(K196&lt;-1,(2*AVERAGE($N$196:$N$200)),N196)</f>
        <v>0.20039166666666669</v>
      </c>
      <c r="P196" s="203">
        <v>10</v>
      </c>
      <c r="Q196" s="203">
        <f>'Invoer en resultaat'!$H$9</f>
        <v>100</v>
      </c>
      <c r="R196" s="203">
        <f t="shared" si="162"/>
        <v>90</v>
      </c>
      <c r="S196" s="357">
        <f t="shared" ref="S196:S199" si="195">IF(Q196&lt;P196,0,ROUNDDOWN(Q196/P196-0.01,0))</f>
        <v>9</v>
      </c>
      <c r="T196" s="354">
        <v>0.1</v>
      </c>
      <c r="U196" s="190">
        <v>0</v>
      </c>
      <c r="V196" s="174"/>
      <c r="W196" s="140" t="s">
        <v>331</v>
      </c>
      <c r="X196" s="140"/>
      <c r="Y196" s="229" t="str">
        <f>'MKI-waarden'!$A33</f>
        <v>Damwanden, Europees naaldhout, damwandplanken</v>
      </c>
    </row>
    <row r="197" spans="1:25" s="205" customFormat="1" ht="14.25" customHeight="1" x14ac:dyDescent="0.2">
      <c r="A197" s="196">
        <f t="shared" si="194"/>
        <v>6</v>
      </c>
      <c r="B197" s="197" t="s">
        <v>364</v>
      </c>
      <c r="C197" s="198">
        <f t="shared" ref="C197:C266" si="196">IF(B197=B196,C196,C196+1)</f>
        <v>6</v>
      </c>
      <c r="D197" s="199">
        <f t="shared" si="176"/>
        <v>29</v>
      </c>
      <c r="E197" s="175" t="s">
        <v>74</v>
      </c>
      <c r="F197" s="200">
        <f t="shared" si="188"/>
        <v>29</v>
      </c>
      <c r="G197" s="201"/>
      <c r="H197" s="205" t="s">
        <v>13</v>
      </c>
      <c r="I197" s="321">
        <v>193</v>
      </c>
      <c r="J197" s="202" t="s">
        <v>49</v>
      </c>
      <c r="K197" s="292">
        <f>1-(N197/AVERAGE($N$196:$N$200))</f>
        <v>-0.84679029696346952</v>
      </c>
      <c r="L197" s="331">
        <f>IF(K197&gt;-1,1-(O197/AVERAGE($O$196:$O$200)),1-(O197/AVERAGE($N$196:$N$200)))</f>
        <v>-0.84679029696346952</v>
      </c>
      <c r="M197" s="344">
        <f>T197/'MKI-waarden'!N29*'MKI-waarden'!D29</f>
        <v>6.4891833333333322</v>
      </c>
      <c r="N197" s="342">
        <f t="shared" si="160"/>
        <v>0.32445916666666663</v>
      </c>
      <c r="O197" s="342">
        <f>IF(K197&lt;-1,(2*AVERAGE($N$196:$N$200)),N197)</f>
        <v>0.32445916666666663</v>
      </c>
      <c r="P197" s="203">
        <v>20</v>
      </c>
      <c r="Q197" s="203">
        <f>'Invoer en resultaat'!$H$9</f>
        <v>100</v>
      </c>
      <c r="R197" s="203">
        <f t="shared" si="162"/>
        <v>80</v>
      </c>
      <c r="S197" s="357">
        <f t="shared" si="195"/>
        <v>4</v>
      </c>
      <c r="T197" s="354">
        <v>0.1</v>
      </c>
      <c r="U197" s="190">
        <v>0</v>
      </c>
      <c r="V197" s="174"/>
      <c r="W197" s="140" t="s">
        <v>331</v>
      </c>
      <c r="X197" s="140"/>
      <c r="Y197" s="229" t="str">
        <f>'MKI-waarden'!$A29</f>
        <v>Damwand, tropisch hardhout, damwandplanken</v>
      </c>
    </row>
    <row r="198" spans="1:25" s="227" customFormat="1" ht="14.25" customHeight="1" x14ac:dyDescent="0.2">
      <c r="A198" s="196">
        <f t="shared" si="194"/>
        <v>6</v>
      </c>
      <c r="B198" s="197" t="s">
        <v>364</v>
      </c>
      <c r="C198" s="198">
        <f t="shared" si="196"/>
        <v>6</v>
      </c>
      <c r="D198" s="199">
        <f t="shared" si="176"/>
        <v>29</v>
      </c>
      <c r="E198" s="175" t="s">
        <v>74</v>
      </c>
      <c r="F198" s="200">
        <f t="shared" si="188"/>
        <v>29</v>
      </c>
      <c r="G198" s="201"/>
      <c r="H198" s="205" t="s">
        <v>66</v>
      </c>
      <c r="I198" s="321">
        <v>194</v>
      </c>
      <c r="J198" s="202" t="s">
        <v>49</v>
      </c>
      <c r="K198" s="292">
        <f>1-(N198/AVERAGE($N$196:$N$200))</f>
        <v>0.87324847163790986</v>
      </c>
      <c r="L198" s="331">
        <f>IF(K198&gt;-1,1-(O198/AVERAGE($O$196:$O$200)),1-(O198/AVERAGE($N$196:$N$200)))</f>
        <v>0.87324847163790986</v>
      </c>
      <c r="M198" s="344">
        <f>T198/'MKI-waarden'!N106*'MKI-waarden'!D106</f>
        <v>1.7814992999999992</v>
      </c>
      <c r="N198" s="342">
        <f t="shared" si="160"/>
        <v>2.2268741249999991E-2</v>
      </c>
      <c r="O198" s="342">
        <f>IF(K198&lt;-1,(2*AVERAGE($N$196:$N$200)),N198)</f>
        <v>2.2268741249999991E-2</v>
      </c>
      <c r="P198" s="203">
        <v>80</v>
      </c>
      <c r="Q198" s="203">
        <f>'Invoer en resultaat'!$H$9</f>
        <v>100</v>
      </c>
      <c r="R198" s="203">
        <f t="shared" si="162"/>
        <v>20</v>
      </c>
      <c r="S198" s="357">
        <f t="shared" si="195"/>
        <v>1</v>
      </c>
      <c r="T198" s="354">
        <v>0.21</v>
      </c>
      <c r="U198" s="190">
        <v>0</v>
      </c>
      <c r="V198" s="140"/>
      <c r="W198" s="140"/>
      <c r="X198" s="140"/>
      <c r="Y198" s="140" t="s">
        <v>198</v>
      </c>
    </row>
    <row r="199" spans="1:25" s="205" customFormat="1" ht="14.25" customHeight="1" x14ac:dyDescent="0.2">
      <c r="A199" s="196">
        <f t="shared" si="194"/>
        <v>6</v>
      </c>
      <c r="B199" s="197" t="s">
        <v>364</v>
      </c>
      <c r="C199" s="198">
        <f t="shared" si="196"/>
        <v>6</v>
      </c>
      <c r="D199" s="199">
        <f t="shared" si="176"/>
        <v>29</v>
      </c>
      <c r="E199" s="175" t="s">
        <v>74</v>
      </c>
      <c r="F199" s="200">
        <f t="shared" si="188"/>
        <v>29</v>
      </c>
      <c r="G199" s="201"/>
      <c r="H199" s="205" t="s">
        <v>4</v>
      </c>
      <c r="I199" s="321">
        <v>195</v>
      </c>
      <c r="J199" s="202" t="s">
        <v>49</v>
      </c>
      <c r="K199" s="292">
        <f>1-(N199/AVERAGE($N$196:$N$200))</f>
        <v>-0.5646842090099371</v>
      </c>
      <c r="L199" s="331">
        <f>IF(K199&gt;-1,1-(O199/AVERAGE($O$196:$O$200)),1-(O199/AVERAGE($N$196:$N$200)))</f>
        <v>-0.5646842090099371</v>
      </c>
      <c r="M199" s="342">
        <f>T199/'MKI-waarden'!N39*'MKI-waarden'!D39</f>
        <v>20.617235294117645</v>
      </c>
      <c r="N199" s="342">
        <f t="shared" si="160"/>
        <v>0.27489647058823524</v>
      </c>
      <c r="O199" s="342">
        <f>IF(K199&lt;-1,(2*AVERAGE($N$196:$N$200)),N199)</f>
        <v>0.27489647058823524</v>
      </c>
      <c r="P199" s="203">
        <v>75</v>
      </c>
      <c r="Q199" s="203">
        <f>'Invoer en resultaat'!$H$9</f>
        <v>100</v>
      </c>
      <c r="R199" s="203">
        <f t="shared" si="162"/>
        <v>25</v>
      </c>
      <c r="S199" s="357">
        <f t="shared" si="195"/>
        <v>1</v>
      </c>
      <c r="T199" s="354">
        <v>0.01</v>
      </c>
      <c r="U199" s="190">
        <v>0</v>
      </c>
      <c r="V199" s="140"/>
      <c r="W199" s="140"/>
      <c r="X199" s="140"/>
      <c r="Y199" s="140" t="s">
        <v>189</v>
      </c>
    </row>
    <row r="200" spans="1:25" s="220" customFormat="1" ht="14.25" customHeight="1" x14ac:dyDescent="0.2">
      <c r="A200" s="208">
        <f>C200</f>
        <v>6</v>
      </c>
      <c r="B200" s="197" t="s">
        <v>364</v>
      </c>
      <c r="C200" s="210">
        <f>IF(B200=B199,C199,C199+1)</f>
        <v>6</v>
      </c>
      <c r="D200" s="211">
        <f>F200</f>
        <v>29</v>
      </c>
      <c r="E200" s="212" t="s">
        <v>74</v>
      </c>
      <c r="F200" s="213">
        <f>IF(E200=E199,F199,F199+1)</f>
        <v>29</v>
      </c>
      <c r="G200" s="214"/>
      <c r="H200" s="220" t="s">
        <v>1</v>
      </c>
      <c r="I200" s="321">
        <v>196</v>
      </c>
      <c r="J200" s="215" t="s">
        <v>49</v>
      </c>
      <c r="K200" s="292">
        <f>1-(N200/AVERAGE($N$196:$N$200))</f>
        <v>0.67883608210937085</v>
      </c>
      <c r="L200" s="331">
        <f>IF(K200&gt;-1,1-(O200/AVERAGE($O$196:$O$200)),1-(O200/AVERAGE($N$196:$N$200)))</f>
        <v>0.67883608210937085</v>
      </c>
      <c r="M200" s="345">
        <f>T200/'MKI-waarden'!N31*'MKI-waarden'!D31</f>
        <v>4.5139755102040811</v>
      </c>
      <c r="N200" s="345">
        <f>IFERROR(IF(Q200&lt;P200,M200/Q200,M200/P200),"")</f>
        <v>5.6424693877551016E-2</v>
      </c>
      <c r="O200" s="345">
        <f>IF(K200&lt;-1,(2*AVERAGE($N$196:$N$200)),N200)</f>
        <v>5.6424693877551016E-2</v>
      </c>
      <c r="P200" s="216">
        <v>80</v>
      </c>
      <c r="Q200" s="203">
        <f>'Invoer en resultaat'!$H$9</f>
        <v>100</v>
      </c>
      <c r="R200" s="203">
        <f>Q200-P200</f>
        <v>20</v>
      </c>
      <c r="S200" s="357">
        <f>IF(Q200&lt;P200,0,ROUNDDOWN(Q200/P200-0.01,0))</f>
        <v>1</v>
      </c>
      <c r="T200" s="359">
        <v>0.1</v>
      </c>
      <c r="U200" s="217">
        <v>0</v>
      </c>
      <c r="V200" s="229"/>
      <c r="W200" s="229"/>
      <c r="X200" s="229"/>
      <c r="Y200" s="229" t="s">
        <v>317</v>
      </c>
    </row>
    <row r="201" spans="1:25" s="510" customFormat="1" x14ac:dyDescent="0.2">
      <c r="A201" s="494">
        <f>C201</f>
        <v>6</v>
      </c>
      <c r="B201" s="209" t="str">
        <f>B200</f>
        <v>Kade/keermuur</v>
      </c>
      <c r="C201" s="496">
        <f>IF(B201=B200,C200,C200+1)</f>
        <v>6</v>
      </c>
      <c r="D201" s="497">
        <f>F201</f>
        <v>29</v>
      </c>
      <c r="E201" s="498" t="str">
        <f>E200</f>
        <v>muur/wand</v>
      </c>
      <c r="F201" s="499">
        <f>IF(E201=E200,F200,F200+1)</f>
        <v>29</v>
      </c>
      <c r="G201" s="500"/>
      <c r="H201" s="500" t="s">
        <v>669</v>
      </c>
      <c r="I201" s="321">
        <v>197</v>
      </c>
      <c r="J201" s="501" t="s">
        <v>49</v>
      </c>
      <c r="K201" s="502"/>
      <c r="L201" s="503"/>
      <c r="M201" s="504"/>
      <c r="N201" s="504"/>
      <c r="O201" s="504"/>
      <c r="P201" s="505">
        <v>50</v>
      </c>
      <c r="Q201" s="513">
        <f>'Invoer en resultaat'!$H$9</f>
        <v>100</v>
      </c>
      <c r="R201" s="513">
        <f>Q201-P201</f>
        <v>50</v>
      </c>
      <c r="S201" s="514">
        <f>IF(Q201&lt;P201,0,ROUNDDOWN(Q201/P201-0.01,0))</f>
        <v>1</v>
      </c>
      <c r="T201" s="506"/>
      <c r="U201" s="507"/>
      <c r="V201" s="508" t="s">
        <v>668</v>
      </c>
      <c r="W201" s="509"/>
      <c r="X201" s="509"/>
      <c r="Y201" s="509"/>
    </row>
    <row r="202" spans="1:25" s="205" customFormat="1" ht="14.25" customHeight="1" x14ac:dyDescent="0.2">
      <c r="A202" s="196">
        <f t="shared" si="194"/>
        <v>6</v>
      </c>
      <c r="B202" s="197" t="s">
        <v>364</v>
      </c>
      <c r="C202" s="198">
        <f>IF(B202=B200,C200,C200+1)</f>
        <v>6</v>
      </c>
      <c r="D202" s="199">
        <f t="shared" si="176"/>
        <v>30</v>
      </c>
      <c r="E202" s="231" t="s">
        <v>68</v>
      </c>
      <c r="F202" s="200">
        <f>IF(E202=E200,F200,F200+1)</f>
        <v>30</v>
      </c>
      <c r="G202" s="201"/>
      <c r="H202" s="231" t="s">
        <v>13</v>
      </c>
      <c r="I202" s="321">
        <v>198</v>
      </c>
      <c r="J202" s="202" t="s">
        <v>50</v>
      </c>
      <c r="K202" s="292">
        <f t="shared" ref="K202:M204" si="197">K69</f>
        <v>0.99019505219053094</v>
      </c>
      <c r="L202" s="331">
        <f t="shared" si="197"/>
        <v>0.98646001448450704</v>
      </c>
      <c r="M202" s="342">
        <f t="shared" si="197"/>
        <v>0.62954898784061475</v>
      </c>
      <c r="N202" s="342">
        <f t="shared" si="160"/>
        <v>8.3939865045415292E-3</v>
      </c>
      <c r="O202" s="342">
        <f t="shared" ref="O202:P204" si="198">O69</f>
        <v>8.3939865045415292E-3</v>
      </c>
      <c r="P202" s="203">
        <f t="shared" si="198"/>
        <v>75</v>
      </c>
      <c r="Q202" s="203">
        <f>'Invoer en resultaat'!$H$9</f>
        <v>100</v>
      </c>
      <c r="R202" s="203">
        <f t="shared" si="162"/>
        <v>25</v>
      </c>
      <c r="S202" s="357">
        <f t="shared" ref="S202:U204" si="199">S69</f>
        <v>1</v>
      </c>
      <c r="T202" s="354">
        <f t="shared" si="199"/>
        <v>3.0000000000000001E-3</v>
      </c>
      <c r="U202" s="190">
        <f t="shared" si="199"/>
        <v>0.1</v>
      </c>
      <c r="V202" s="205" t="s">
        <v>664</v>
      </c>
      <c r="W202" s="140" t="s">
        <v>561</v>
      </c>
      <c r="X202" s="140"/>
      <c r="Y202" s="140" t="str">
        <f>Y69</f>
        <v>Leuning, Europees naaldhout, duurzame bosbouw</v>
      </c>
    </row>
    <row r="203" spans="1:25" s="205" customFormat="1" ht="14.25" customHeight="1" x14ac:dyDescent="0.2">
      <c r="A203" s="196">
        <f t="shared" si="194"/>
        <v>6</v>
      </c>
      <c r="B203" s="197" t="s">
        <v>364</v>
      </c>
      <c r="C203" s="198">
        <f t="shared" si="196"/>
        <v>6</v>
      </c>
      <c r="D203" s="199">
        <f t="shared" si="176"/>
        <v>30</v>
      </c>
      <c r="E203" s="231" t="s">
        <v>68</v>
      </c>
      <c r="F203" s="200">
        <f t="shared" si="188"/>
        <v>30</v>
      </c>
      <c r="G203" s="201"/>
      <c r="H203" s="231" t="s">
        <v>4</v>
      </c>
      <c r="I203" s="321">
        <v>199</v>
      </c>
      <c r="J203" s="202" t="s">
        <v>50</v>
      </c>
      <c r="K203" s="292">
        <f t="shared" si="197"/>
        <v>0.83736219336562401</v>
      </c>
      <c r="L203" s="331">
        <f t="shared" si="197"/>
        <v>0.77540792782453039</v>
      </c>
      <c r="M203" s="342">
        <f t="shared" si="197"/>
        <v>10.4425305</v>
      </c>
      <c r="N203" s="342">
        <f t="shared" si="160"/>
        <v>0.13923373999999999</v>
      </c>
      <c r="O203" s="342">
        <f t="shared" si="198"/>
        <v>0.13923373999999999</v>
      </c>
      <c r="P203" s="203">
        <f t="shared" si="198"/>
        <v>75</v>
      </c>
      <c r="Q203" s="203">
        <f>'Invoer en resultaat'!$H$9</f>
        <v>100</v>
      </c>
      <c r="R203" s="203">
        <f t="shared" si="162"/>
        <v>25</v>
      </c>
      <c r="S203" s="357">
        <f t="shared" si="199"/>
        <v>1</v>
      </c>
      <c r="T203" s="354">
        <f t="shared" si="199"/>
        <v>3.0000000000000001E-3</v>
      </c>
      <c r="U203" s="190">
        <f t="shared" si="199"/>
        <v>0.05</v>
      </c>
      <c r="V203" s="205" t="s">
        <v>663</v>
      </c>
      <c r="W203" s="140" t="s">
        <v>333</v>
      </c>
      <c r="X203" s="140" t="s">
        <v>234</v>
      </c>
      <c r="Y203" s="140" t="str">
        <f>Y70</f>
        <v xml:space="preserve">Leuning, Staal gecoat </v>
      </c>
    </row>
    <row r="204" spans="1:25" s="220" customFormat="1" ht="14.25" customHeight="1" x14ac:dyDescent="0.2">
      <c r="A204" s="208">
        <f>C204</f>
        <v>6</v>
      </c>
      <c r="B204" s="197" t="s">
        <v>364</v>
      </c>
      <c r="C204" s="210">
        <f>IF(B204=B203,C203,C203+1)</f>
        <v>6</v>
      </c>
      <c r="D204" s="211">
        <f>F204</f>
        <v>30</v>
      </c>
      <c r="E204" s="232" t="s">
        <v>68</v>
      </c>
      <c r="F204" s="213">
        <f>IF(E204=E203,F203,F203+1)</f>
        <v>30</v>
      </c>
      <c r="G204" s="214"/>
      <c r="H204" s="232" t="s">
        <v>28</v>
      </c>
      <c r="I204" s="321">
        <v>200</v>
      </c>
      <c r="J204" s="215" t="s">
        <v>50</v>
      </c>
      <c r="K204" s="296">
        <f t="shared" si="197"/>
        <v>-1.8275572455561551</v>
      </c>
      <c r="L204" s="331">
        <f t="shared" si="197"/>
        <v>-1</v>
      </c>
      <c r="M204" s="345">
        <f t="shared" si="197"/>
        <v>181.54974780000001</v>
      </c>
      <c r="N204" s="345">
        <f>IFERROR(IF(Q204&lt;P204,M204/Q204,M204/P204),"")</f>
        <v>2.4206633040000001</v>
      </c>
      <c r="O204" s="345">
        <f t="shared" si="198"/>
        <v>1.712194020336361</v>
      </c>
      <c r="P204" s="216">
        <f t="shared" si="198"/>
        <v>75</v>
      </c>
      <c r="Q204" s="203">
        <f>'Invoer en resultaat'!$H$9</f>
        <v>100</v>
      </c>
      <c r="R204" s="203">
        <f>Q204-P204</f>
        <v>25</v>
      </c>
      <c r="S204" s="358">
        <f t="shared" si="199"/>
        <v>1</v>
      </c>
      <c r="T204" s="359">
        <f t="shared" si="199"/>
        <v>3.0000000000000001E-3</v>
      </c>
      <c r="U204" s="217">
        <f t="shared" si="199"/>
        <v>0.05</v>
      </c>
      <c r="V204" s="218"/>
      <c r="W204" s="229" t="s">
        <v>262</v>
      </c>
      <c r="X204" s="229" t="s">
        <v>234</v>
      </c>
      <c r="Y204" s="229" t="str">
        <f>Y71</f>
        <v>Leuning, RVS</v>
      </c>
    </row>
    <row r="205" spans="1:25" s="510" customFormat="1" x14ac:dyDescent="0.2">
      <c r="A205" s="494">
        <f>C205</f>
        <v>6</v>
      </c>
      <c r="B205" s="209" t="str">
        <f>B204</f>
        <v>Kade/keermuur</v>
      </c>
      <c r="C205" s="496">
        <f>IF(B205=B204,C204,C204+1)</f>
        <v>6</v>
      </c>
      <c r="D205" s="497">
        <f>F205</f>
        <v>30</v>
      </c>
      <c r="E205" s="232" t="str">
        <f>E204</f>
        <v>leuning</v>
      </c>
      <c r="F205" s="213">
        <f>IF(E205=E204,F204,F204+1)</f>
        <v>30</v>
      </c>
      <c r="G205" s="214"/>
      <c r="H205" s="232" t="s">
        <v>669</v>
      </c>
      <c r="I205" s="321">
        <v>201</v>
      </c>
      <c r="J205" s="501" t="s">
        <v>49</v>
      </c>
      <c r="K205" s="502"/>
      <c r="L205" s="503"/>
      <c r="M205" s="504"/>
      <c r="N205" s="504"/>
      <c r="O205" s="504"/>
      <c r="P205" s="505">
        <v>50</v>
      </c>
      <c r="Q205" s="513">
        <f>'Invoer en resultaat'!$H$9</f>
        <v>100</v>
      </c>
      <c r="R205" s="513">
        <f>Q205-P205</f>
        <v>50</v>
      </c>
      <c r="S205" s="514">
        <f>IF(Q205&lt;P205,0,ROUNDDOWN(Q205/P205-0.01,0))</f>
        <v>1</v>
      </c>
      <c r="T205" s="506"/>
      <c r="U205" s="507"/>
      <c r="V205" s="508" t="s">
        <v>668</v>
      </c>
      <c r="W205" s="509"/>
      <c r="X205" s="509"/>
      <c r="Y205" s="509"/>
    </row>
    <row r="206" spans="1:25" s="205" customFormat="1" ht="14.25" customHeight="1" x14ac:dyDescent="0.2">
      <c r="A206" s="196">
        <f t="shared" si="194"/>
        <v>6</v>
      </c>
      <c r="B206" s="197" t="s">
        <v>364</v>
      </c>
      <c r="C206" s="198">
        <f>IF(B206=B204,C204,C204+1)</f>
        <v>6</v>
      </c>
      <c r="D206" s="199">
        <f t="shared" si="176"/>
        <v>31</v>
      </c>
      <c r="E206" s="231" t="s">
        <v>9</v>
      </c>
      <c r="F206" s="200">
        <f>IF(E206=E204,F204,F204+1)</f>
        <v>31</v>
      </c>
      <c r="G206" s="201"/>
      <c r="H206" s="231" t="s">
        <v>13</v>
      </c>
      <c r="I206" s="321">
        <v>202</v>
      </c>
      <c r="J206" s="202" t="s">
        <v>49</v>
      </c>
      <c r="K206" s="292">
        <f>K34</f>
        <v>-2.0884872218470019E-2</v>
      </c>
      <c r="L206" s="331">
        <f>L34</f>
        <v>-2.0884872218470019E-2</v>
      </c>
      <c r="M206" s="342">
        <f>M34</f>
        <v>5.1913466666666661</v>
      </c>
      <c r="N206" s="342">
        <f t="shared" si="160"/>
        <v>0.25956733333333332</v>
      </c>
      <c r="O206" s="342">
        <f>O34</f>
        <v>0.25956733333333332</v>
      </c>
      <c r="P206" s="203">
        <f>P34</f>
        <v>20</v>
      </c>
      <c r="Q206" s="203">
        <f>'Invoer en resultaat'!$H$9</f>
        <v>100</v>
      </c>
      <c r="R206" s="203">
        <f t="shared" si="162"/>
        <v>80</v>
      </c>
      <c r="S206" s="357">
        <f>S34</f>
        <v>4</v>
      </c>
      <c r="T206" s="354">
        <f>T34</f>
        <v>0.08</v>
      </c>
      <c r="U206" s="190">
        <f>U34</f>
        <v>0</v>
      </c>
      <c r="V206" s="140">
        <f>V34</f>
        <v>0</v>
      </c>
      <c r="W206" s="140"/>
      <c r="X206" s="140"/>
      <c r="Y206" s="140" t="str">
        <f t="shared" ref="Y206:Y213" si="200">Y34</f>
        <v>Damwand, tropisch hardhout, damwandplanken</v>
      </c>
    </row>
    <row r="207" spans="1:25" s="205" customFormat="1" ht="14.25" customHeight="1" x14ac:dyDescent="0.2">
      <c r="A207" s="196">
        <f t="shared" si="194"/>
        <v>6</v>
      </c>
      <c r="B207" s="197" t="s">
        <v>364</v>
      </c>
      <c r="C207" s="198">
        <f t="shared" si="196"/>
        <v>6</v>
      </c>
      <c r="D207" s="199">
        <f t="shared" si="176"/>
        <v>31</v>
      </c>
      <c r="E207" s="231" t="s">
        <v>9</v>
      </c>
      <c r="F207" s="200">
        <f t="shared" si="188"/>
        <v>31</v>
      </c>
      <c r="G207" s="201"/>
      <c r="H207" s="231" t="s">
        <v>111</v>
      </c>
      <c r="I207" s="321">
        <v>203</v>
      </c>
      <c r="J207" s="202" t="s">
        <v>49</v>
      </c>
      <c r="K207" s="292">
        <f>$K$35</f>
        <v>-0.72067232020631455</v>
      </c>
      <c r="L207" s="331">
        <f t="shared" ref="L207:L213" si="201">L35</f>
        <v>-0.72067232020631455</v>
      </c>
      <c r="M207" s="342">
        <f>$M$35</f>
        <v>13.124799999999999</v>
      </c>
      <c r="N207" s="342">
        <f t="shared" si="160"/>
        <v>0.43749333333333329</v>
      </c>
      <c r="O207" s="342">
        <f t="shared" ref="O207:O213" si="202">O35</f>
        <v>0.43749333333333329</v>
      </c>
      <c r="P207" s="203">
        <f>$P$35</f>
        <v>30</v>
      </c>
      <c r="Q207" s="203">
        <f>'Invoer en resultaat'!$H$9</f>
        <v>100</v>
      </c>
      <c r="R207" s="203">
        <f t="shared" si="162"/>
        <v>70</v>
      </c>
      <c r="S207" s="357">
        <f>$S$35</f>
        <v>3</v>
      </c>
      <c r="T207" s="354">
        <f>$T$35</f>
        <v>0.02</v>
      </c>
      <c r="U207" s="190">
        <f t="shared" ref="U207:U213" si="203">U35</f>
        <v>0</v>
      </c>
      <c r="V207" s="140">
        <f>$V$35</f>
        <v>0</v>
      </c>
      <c r="W207" s="140"/>
      <c r="X207" s="140"/>
      <c r="Y207" s="140" t="str">
        <f t="shared" si="200"/>
        <v>Damwand PCV nieuw</v>
      </c>
    </row>
    <row r="208" spans="1:25" s="205" customFormat="1" ht="14.25" customHeight="1" x14ac:dyDescent="0.2">
      <c r="A208" s="196">
        <f t="shared" si="194"/>
        <v>6</v>
      </c>
      <c r="B208" s="197" t="s">
        <v>364</v>
      </c>
      <c r="C208" s="198">
        <f t="shared" si="196"/>
        <v>6</v>
      </c>
      <c r="D208" s="199">
        <f t="shared" si="176"/>
        <v>31</v>
      </c>
      <c r="E208" s="231" t="s">
        <v>9</v>
      </c>
      <c r="F208" s="200">
        <f t="shared" si="188"/>
        <v>31</v>
      </c>
      <c r="G208" s="201"/>
      <c r="H208" s="231" t="s">
        <v>112</v>
      </c>
      <c r="I208" s="321">
        <v>204</v>
      </c>
      <c r="J208" s="202" t="s">
        <v>49</v>
      </c>
      <c r="K208" s="292">
        <f>$K$36</f>
        <v>-0.25793928283591594</v>
      </c>
      <c r="L208" s="331">
        <f t="shared" si="201"/>
        <v>-0.25793928283591594</v>
      </c>
      <c r="M208" s="342">
        <f>$M$36</f>
        <v>9.5952037499999996</v>
      </c>
      <c r="N208" s="342">
        <f t="shared" si="160"/>
        <v>0.31984012499999998</v>
      </c>
      <c r="O208" s="342">
        <f t="shared" si="202"/>
        <v>0.31984012499999998</v>
      </c>
      <c r="P208" s="203">
        <f>$P$36</f>
        <v>30</v>
      </c>
      <c r="Q208" s="203">
        <f>'Invoer en resultaat'!$H$9</f>
        <v>100</v>
      </c>
      <c r="R208" s="203">
        <f t="shared" si="162"/>
        <v>70</v>
      </c>
      <c r="S208" s="357">
        <f>$S$36</f>
        <v>3</v>
      </c>
      <c r="T208" s="354">
        <f>$T$36</f>
        <v>0.02</v>
      </c>
      <c r="U208" s="190">
        <f t="shared" si="203"/>
        <v>0</v>
      </c>
      <c r="V208" s="140"/>
      <c r="W208" s="140"/>
      <c r="X208" s="184"/>
      <c r="Y208" s="140" t="str">
        <f t="shared" si="200"/>
        <v>Damwand PVC Gerecycled, enkel scherm (ProLock, Omega)</v>
      </c>
    </row>
    <row r="209" spans="1:25" s="205" customFormat="1" ht="14.25" customHeight="1" x14ac:dyDescent="0.2">
      <c r="A209" s="196">
        <f t="shared" si="194"/>
        <v>6</v>
      </c>
      <c r="B209" s="197" t="s">
        <v>364</v>
      </c>
      <c r="C209" s="198">
        <f t="shared" si="196"/>
        <v>6</v>
      </c>
      <c r="D209" s="199">
        <f t="shared" si="176"/>
        <v>31</v>
      </c>
      <c r="E209" s="231" t="s">
        <v>9</v>
      </c>
      <c r="F209" s="200">
        <f t="shared" si="188"/>
        <v>31</v>
      </c>
      <c r="G209" s="201"/>
      <c r="H209" s="231" t="s">
        <v>113</v>
      </c>
      <c r="I209" s="321">
        <v>205</v>
      </c>
      <c r="J209" s="202" t="s">
        <v>49</v>
      </c>
      <c r="K209" s="292">
        <f>$K$37</f>
        <v>-0.47727967554638595</v>
      </c>
      <c r="L209" s="331">
        <f t="shared" si="201"/>
        <v>-0.47727967554638595</v>
      </c>
      <c r="M209" s="342">
        <f>$M$37</f>
        <v>18.780449999999998</v>
      </c>
      <c r="N209" s="342">
        <f t="shared" si="160"/>
        <v>0.37560899999999997</v>
      </c>
      <c r="O209" s="342">
        <f t="shared" si="202"/>
        <v>0.37560899999999997</v>
      </c>
      <c r="P209" s="203">
        <f>$P$37</f>
        <v>50</v>
      </c>
      <c r="Q209" s="203">
        <f>'Invoer en resultaat'!$H$9</f>
        <v>100</v>
      </c>
      <c r="R209" s="203">
        <f t="shared" si="162"/>
        <v>50</v>
      </c>
      <c r="S209" s="357">
        <f>$S$37</f>
        <v>1</v>
      </c>
      <c r="T209" s="354">
        <f>$T$37</f>
        <v>0.03</v>
      </c>
      <c r="U209" s="190">
        <f t="shared" si="203"/>
        <v>0</v>
      </c>
      <c r="V209" s="140"/>
      <c r="W209" s="140"/>
      <c r="X209" s="184"/>
      <c r="Y209" s="140" t="str">
        <f t="shared" si="200"/>
        <v>Damwand PE nieuw</v>
      </c>
    </row>
    <row r="210" spans="1:25" s="205" customFormat="1" ht="14.25" customHeight="1" x14ac:dyDescent="0.2">
      <c r="A210" s="196">
        <f t="shared" si="194"/>
        <v>6</v>
      </c>
      <c r="B210" s="197" t="s">
        <v>364</v>
      </c>
      <c r="C210" s="198">
        <f t="shared" si="196"/>
        <v>6</v>
      </c>
      <c r="D210" s="199">
        <f t="shared" si="176"/>
        <v>31</v>
      </c>
      <c r="E210" s="231" t="s">
        <v>9</v>
      </c>
      <c r="F210" s="200">
        <f t="shared" si="188"/>
        <v>31</v>
      </c>
      <c r="G210" s="201"/>
      <c r="H210" s="231" t="s">
        <v>114</v>
      </c>
      <c r="I210" s="321">
        <v>206</v>
      </c>
      <c r="J210" s="202" t="s">
        <v>49</v>
      </c>
      <c r="K210" s="292">
        <f>$K$38</f>
        <v>-0.13214535455232435</v>
      </c>
      <c r="L210" s="331">
        <f t="shared" si="201"/>
        <v>-0.13214535455232435</v>
      </c>
      <c r="M210" s="342">
        <f>$M$38</f>
        <v>14.392805624999999</v>
      </c>
      <c r="N210" s="342">
        <f t="shared" si="160"/>
        <v>0.28785611249999998</v>
      </c>
      <c r="O210" s="342">
        <f t="shared" si="202"/>
        <v>0.28785611249999998</v>
      </c>
      <c r="P210" s="203">
        <f>$P$38</f>
        <v>50</v>
      </c>
      <c r="Q210" s="203">
        <f>'Invoer en resultaat'!$H$9</f>
        <v>100</v>
      </c>
      <c r="R210" s="203">
        <f t="shared" si="162"/>
        <v>50</v>
      </c>
      <c r="S210" s="357">
        <f>$S$38</f>
        <v>1</v>
      </c>
      <c r="T210" s="354">
        <f>$T$38</f>
        <v>0.03</v>
      </c>
      <c r="U210" s="190">
        <f t="shared" si="203"/>
        <v>0</v>
      </c>
      <c r="V210" s="140"/>
      <c r="W210" s="140"/>
      <c r="X210" s="184"/>
      <c r="Y210" s="140" t="str">
        <f t="shared" si="200"/>
        <v>Damwand PE gerecycled</v>
      </c>
    </row>
    <row r="211" spans="1:25" s="205" customFormat="1" ht="14.25" customHeight="1" x14ac:dyDescent="0.2">
      <c r="A211" s="196">
        <f t="shared" si="194"/>
        <v>6</v>
      </c>
      <c r="B211" s="197" t="s">
        <v>364</v>
      </c>
      <c r="C211" s="198">
        <f t="shared" si="196"/>
        <v>6</v>
      </c>
      <c r="D211" s="199">
        <f t="shared" si="176"/>
        <v>31</v>
      </c>
      <c r="E211" s="231" t="s">
        <v>9</v>
      </c>
      <c r="F211" s="200">
        <f t="shared" si="188"/>
        <v>31</v>
      </c>
      <c r="G211" s="201"/>
      <c r="H211" s="231" t="s">
        <v>39</v>
      </c>
      <c r="I211" s="321">
        <v>207</v>
      </c>
      <c r="J211" s="202" t="s">
        <v>49</v>
      </c>
      <c r="K211" s="292">
        <f>$K$39</f>
        <v>0.97415353471348021</v>
      </c>
      <c r="L211" s="331">
        <f t="shared" si="201"/>
        <v>0.97415353471348021</v>
      </c>
      <c r="M211" s="342">
        <f>$M$39</f>
        <v>0.65716499999999989</v>
      </c>
      <c r="N211" s="342">
        <f t="shared" si="160"/>
        <v>6.5716499999999992E-3</v>
      </c>
      <c r="O211" s="342">
        <f t="shared" si="202"/>
        <v>6.5716499999999992E-3</v>
      </c>
      <c r="P211" s="203">
        <f>$P$39</f>
        <v>100</v>
      </c>
      <c r="Q211" s="203">
        <f>'Invoer en resultaat'!$H$9</f>
        <v>100</v>
      </c>
      <c r="R211" s="203">
        <f t="shared" si="162"/>
        <v>0</v>
      </c>
      <c r="S211" s="357">
        <f>$S$39</f>
        <v>0</v>
      </c>
      <c r="T211" s="354">
        <f>$T$39</f>
        <v>0.1</v>
      </c>
      <c r="U211" s="190">
        <f t="shared" si="203"/>
        <v>0</v>
      </c>
      <c r="V211" s="140" t="str">
        <f>$V$39</f>
        <v>Gunstige score door lange levensduur en uitgangspunt stortsteen</v>
      </c>
      <c r="W211" s="390" t="s">
        <v>551</v>
      </c>
      <c r="X211" s="140"/>
      <c r="Y211" s="140" t="str">
        <f t="shared" si="200"/>
        <v>Bekleding, waterbouw steenbreuksteen natuursteen</v>
      </c>
    </row>
    <row r="212" spans="1:25" s="205" customFormat="1" ht="14.25" customHeight="1" x14ac:dyDescent="0.2">
      <c r="A212" s="196">
        <f t="shared" si="194"/>
        <v>6</v>
      </c>
      <c r="B212" s="197" t="s">
        <v>364</v>
      </c>
      <c r="C212" s="198">
        <f t="shared" si="196"/>
        <v>6</v>
      </c>
      <c r="D212" s="199">
        <f t="shared" si="176"/>
        <v>31</v>
      </c>
      <c r="E212" s="231" t="s">
        <v>9</v>
      </c>
      <c r="F212" s="200">
        <f t="shared" si="188"/>
        <v>31</v>
      </c>
      <c r="G212" s="201"/>
      <c r="H212" s="231" t="s">
        <v>4</v>
      </c>
      <c r="I212" s="321">
        <v>208</v>
      </c>
      <c r="J212" s="202" t="s">
        <v>49</v>
      </c>
      <c r="K212" s="292">
        <f>$K$40</f>
        <v>-8.1174755874952043E-2</v>
      </c>
      <c r="L212" s="331">
        <f t="shared" si="201"/>
        <v>-8.1174755874952043E-2</v>
      </c>
      <c r="M212" s="342">
        <f>$M$40</f>
        <v>20.617235294117645</v>
      </c>
      <c r="N212" s="342">
        <f t="shared" si="160"/>
        <v>0.27489647058823524</v>
      </c>
      <c r="O212" s="342">
        <f t="shared" si="202"/>
        <v>0.27489647058823524</v>
      </c>
      <c r="P212" s="203">
        <f>$P$40</f>
        <v>75</v>
      </c>
      <c r="Q212" s="203">
        <f>'Invoer en resultaat'!$H$9</f>
        <v>100</v>
      </c>
      <c r="R212" s="203">
        <f t="shared" si="162"/>
        <v>25</v>
      </c>
      <c r="S212" s="357">
        <f>$S$40</f>
        <v>1</v>
      </c>
      <c r="T212" s="354">
        <f>$T$40</f>
        <v>0.01</v>
      </c>
      <c r="U212" s="190">
        <f t="shared" si="203"/>
        <v>0</v>
      </c>
      <c r="V212" s="140">
        <f>$V$40</f>
        <v>0</v>
      </c>
      <c r="W212" s="140"/>
      <c r="X212" s="140"/>
      <c r="Y212" s="140" t="str">
        <f t="shared" si="200"/>
        <v>Damwand Staal, constructiestaal</v>
      </c>
    </row>
    <row r="213" spans="1:25" s="205" customFormat="1" ht="14.25" customHeight="1" x14ac:dyDescent="0.2">
      <c r="A213" s="196">
        <f>C213</f>
        <v>6</v>
      </c>
      <c r="B213" s="197" t="s">
        <v>364</v>
      </c>
      <c r="C213" s="198">
        <f>IF(B213=B212,C212,C212+1)</f>
        <v>6</v>
      </c>
      <c r="D213" s="199">
        <f>F213</f>
        <v>31</v>
      </c>
      <c r="E213" s="231" t="s">
        <v>9</v>
      </c>
      <c r="F213" s="200">
        <f>IF(E213=E212,F212,F212+1)</f>
        <v>31</v>
      </c>
      <c r="G213" s="201"/>
      <c r="H213" s="231" t="s">
        <v>1</v>
      </c>
      <c r="I213" s="321">
        <v>209</v>
      </c>
      <c r="J213" s="202" t="s">
        <v>49</v>
      </c>
      <c r="K213" s="292">
        <f>$K$41</f>
        <v>0.71594272652088242</v>
      </c>
      <c r="L213" s="331">
        <f t="shared" si="201"/>
        <v>0.71594272652088242</v>
      </c>
      <c r="M213" s="342">
        <f>$M$41</f>
        <v>5.4167706122448971</v>
      </c>
      <c r="N213" s="342">
        <f>IFERROR(IF(Q213&lt;P213,M213/Q213,M213/P213),"")</f>
        <v>7.2223608163265299E-2</v>
      </c>
      <c r="O213" s="342">
        <f t="shared" si="202"/>
        <v>7.2223608163265299E-2</v>
      </c>
      <c r="P213" s="203">
        <f>$P$41</f>
        <v>75</v>
      </c>
      <c r="Q213" s="203">
        <f>'Invoer en resultaat'!$H$9</f>
        <v>100</v>
      </c>
      <c r="R213" s="203">
        <f>Q213-P213</f>
        <v>25</v>
      </c>
      <c r="S213" s="357">
        <f>$S$41</f>
        <v>1</v>
      </c>
      <c r="T213" s="354">
        <f>$T$41</f>
        <v>0.12</v>
      </c>
      <c r="U213" s="190">
        <f t="shared" si="203"/>
        <v>0</v>
      </c>
      <c r="V213" s="140">
        <f>$V$41</f>
        <v>0</v>
      </c>
      <c r="W213" s="140"/>
      <c r="X213" s="140"/>
      <c r="Y213" s="140" t="str">
        <f t="shared" si="200"/>
        <v>Damwand, Beton</v>
      </c>
    </row>
    <row r="214" spans="1:25" s="510" customFormat="1" x14ac:dyDescent="0.2">
      <c r="A214" s="494">
        <f>C214</f>
        <v>6</v>
      </c>
      <c r="B214" s="495" t="str">
        <f>B213</f>
        <v>Kade/keermuur</v>
      </c>
      <c r="C214" s="496">
        <f>IF(B214=B213,C213,C213+1)</f>
        <v>6</v>
      </c>
      <c r="D214" s="497">
        <f>F214</f>
        <v>31</v>
      </c>
      <c r="E214" s="511" t="str">
        <f>E213</f>
        <v>deksloof</v>
      </c>
      <c r="F214" s="499">
        <f>IF(E214=E213,F213,F213+1)</f>
        <v>31</v>
      </c>
      <c r="G214" s="512"/>
      <c r="H214" s="511" t="s">
        <v>669</v>
      </c>
      <c r="I214" s="321">
        <v>210</v>
      </c>
      <c r="J214" s="501" t="s">
        <v>49</v>
      </c>
      <c r="K214" s="502"/>
      <c r="L214" s="503"/>
      <c r="M214" s="504"/>
      <c r="N214" s="504"/>
      <c r="O214" s="504"/>
      <c r="P214" s="505">
        <v>50</v>
      </c>
      <c r="Q214" s="513">
        <f>'Invoer en resultaat'!$H$9</f>
        <v>100</v>
      </c>
      <c r="R214" s="513">
        <f>Q214-P214</f>
        <v>50</v>
      </c>
      <c r="S214" s="514">
        <f>IF(Q214&lt;P214,0,ROUNDDOWN(Q214/P214-0.01,0))</f>
        <v>1</v>
      </c>
      <c r="T214" s="506"/>
      <c r="U214" s="507"/>
      <c r="V214" s="508" t="s">
        <v>668</v>
      </c>
      <c r="W214" s="509"/>
      <c r="X214" s="509"/>
      <c r="Y214" s="509"/>
    </row>
    <row r="215" spans="1:25" s="205" customFormat="1" ht="14.25" customHeight="1" x14ac:dyDescent="0.2">
      <c r="A215" s="196">
        <f t="shared" si="174"/>
        <v>7</v>
      </c>
      <c r="B215" s="222" t="s">
        <v>178</v>
      </c>
      <c r="C215" s="198">
        <f>IF(B215=B213,C213,C213+1)</f>
        <v>7</v>
      </c>
      <c r="D215" s="199">
        <f t="shared" si="176"/>
        <v>32</v>
      </c>
      <c r="E215" s="231" t="s">
        <v>116</v>
      </c>
      <c r="F215" s="200">
        <f>IF(E215=E213,F213,F213+1)</f>
        <v>32</v>
      </c>
      <c r="G215" s="201"/>
      <c r="H215" s="231" t="s">
        <v>12</v>
      </c>
      <c r="I215" s="321">
        <v>211</v>
      </c>
      <c r="J215" s="202" t="s">
        <v>49</v>
      </c>
      <c r="K215" s="292">
        <f t="shared" ref="K215:M218" si="204">K79</f>
        <v>0.95047361784117068</v>
      </c>
      <c r="L215" s="331">
        <f t="shared" si="204"/>
        <v>0.94750360175384696</v>
      </c>
      <c r="M215" s="342">
        <f t="shared" si="204"/>
        <v>0.08</v>
      </c>
      <c r="N215" s="342">
        <f t="shared" si="160"/>
        <v>8.0000000000000002E-3</v>
      </c>
      <c r="O215" s="342">
        <f t="shared" ref="O215:P218" si="205">O79</f>
        <v>8.0000000000000002E-3</v>
      </c>
      <c r="P215" s="203">
        <f t="shared" si="205"/>
        <v>10</v>
      </c>
      <c r="Q215" s="203">
        <f>'Invoer en resultaat'!$H$9</f>
        <v>100</v>
      </c>
      <c r="R215" s="203">
        <f t="shared" si="162"/>
        <v>90</v>
      </c>
      <c r="S215" s="357">
        <f t="shared" ref="S215:U218" si="206">S79</f>
        <v>9</v>
      </c>
      <c r="T215" s="354">
        <f t="shared" si="206"/>
        <v>0.08</v>
      </c>
      <c r="U215" s="190">
        <f t="shared" si="206"/>
        <v>0</v>
      </c>
      <c r="W215" s="140" t="s">
        <v>167</v>
      </c>
      <c r="X215" s="140"/>
      <c r="Y215" s="140" t="str">
        <f>'MKI-waarden'!$A$33</f>
        <v>Damwanden, Europees naaldhout, damwandplanken</v>
      </c>
    </row>
    <row r="216" spans="1:25" s="205" customFormat="1" ht="14.25" customHeight="1" x14ac:dyDescent="0.2">
      <c r="A216" s="196">
        <f t="shared" si="174"/>
        <v>7</v>
      </c>
      <c r="B216" s="222" t="s">
        <v>178</v>
      </c>
      <c r="C216" s="198">
        <f t="shared" si="196"/>
        <v>7</v>
      </c>
      <c r="D216" s="199">
        <f t="shared" si="176"/>
        <v>32</v>
      </c>
      <c r="E216" s="231" t="s">
        <v>116</v>
      </c>
      <c r="F216" s="200">
        <f t="shared" si="188"/>
        <v>32</v>
      </c>
      <c r="G216" s="201"/>
      <c r="H216" s="231" t="s">
        <v>13</v>
      </c>
      <c r="I216" s="321">
        <v>212</v>
      </c>
      <c r="J216" s="202" t="s">
        <v>49</v>
      </c>
      <c r="K216" s="292">
        <f t="shared" si="204"/>
        <v>-0.60692886832686277</v>
      </c>
      <c r="L216" s="331">
        <f t="shared" si="204"/>
        <v>-0.70329376279482925</v>
      </c>
      <c r="M216" s="342">
        <f t="shared" si="204"/>
        <v>5.1913466666666661</v>
      </c>
      <c r="N216" s="342">
        <f t="shared" si="160"/>
        <v>0.25956733333333332</v>
      </c>
      <c r="O216" s="342">
        <f t="shared" si="205"/>
        <v>0.25956733333333332</v>
      </c>
      <c r="P216" s="203">
        <f t="shared" si="205"/>
        <v>20</v>
      </c>
      <c r="Q216" s="203">
        <f>'Invoer en resultaat'!$H$9</f>
        <v>100</v>
      </c>
      <c r="R216" s="203">
        <f t="shared" si="162"/>
        <v>80</v>
      </c>
      <c r="S216" s="357">
        <f t="shared" si="206"/>
        <v>4</v>
      </c>
      <c r="T216" s="354">
        <f t="shared" si="206"/>
        <v>0.08</v>
      </c>
      <c r="U216" s="190">
        <f t="shared" si="206"/>
        <v>0</v>
      </c>
      <c r="W216" s="140" t="s">
        <v>167</v>
      </c>
      <c r="X216" s="140"/>
      <c r="Y216" s="140" t="str">
        <f>'MKI-waarden'!$A$29</f>
        <v>Damwand, tropisch hardhout, damwandplanken</v>
      </c>
    </row>
    <row r="217" spans="1:25" s="205" customFormat="1" ht="14.25" customHeight="1" x14ac:dyDescent="0.2">
      <c r="A217" s="196">
        <f t="shared" si="174"/>
        <v>7</v>
      </c>
      <c r="B217" s="222" t="s">
        <v>178</v>
      </c>
      <c r="C217" s="198">
        <f t="shared" si="196"/>
        <v>7</v>
      </c>
      <c r="D217" s="199">
        <f t="shared" ref="D217:D295" si="207">F217</f>
        <v>32</v>
      </c>
      <c r="E217" s="231" t="s">
        <v>116</v>
      </c>
      <c r="F217" s="200">
        <f t="shared" si="188"/>
        <v>32</v>
      </c>
      <c r="G217" s="201"/>
      <c r="H217" s="231" t="s">
        <v>106</v>
      </c>
      <c r="I217" s="321">
        <v>213</v>
      </c>
      <c r="J217" s="202" t="s">
        <v>49</v>
      </c>
      <c r="K217" s="292">
        <f t="shared" si="204"/>
        <v>-1.325319359536965</v>
      </c>
      <c r="L217" s="331">
        <f t="shared" si="204"/>
        <v>-1</v>
      </c>
      <c r="M217" s="342">
        <f t="shared" si="204"/>
        <v>18.780449999999998</v>
      </c>
      <c r="N217" s="342">
        <f t="shared" si="160"/>
        <v>0.37560899999999997</v>
      </c>
      <c r="O217" s="342">
        <f t="shared" si="205"/>
        <v>0.32306014093031421</v>
      </c>
      <c r="P217" s="203">
        <f t="shared" si="205"/>
        <v>50</v>
      </c>
      <c r="Q217" s="203">
        <f>'Invoer en resultaat'!$H$9</f>
        <v>100</v>
      </c>
      <c r="R217" s="203">
        <f t="shared" si="162"/>
        <v>50</v>
      </c>
      <c r="S217" s="357">
        <f t="shared" si="206"/>
        <v>1</v>
      </c>
      <c r="T217" s="354">
        <f t="shared" si="206"/>
        <v>0.03</v>
      </c>
      <c r="U217" s="190">
        <f t="shared" si="206"/>
        <v>0</v>
      </c>
      <c r="W217" s="140" t="s">
        <v>167</v>
      </c>
      <c r="X217" s="140"/>
      <c r="Y217" s="140" t="str">
        <f>'MKI-waarden'!$A$42</f>
        <v>Damwand PCV nieuw</v>
      </c>
    </row>
    <row r="218" spans="1:25" s="205" customFormat="1" ht="14.25" customHeight="1" x14ac:dyDescent="0.2">
      <c r="A218" s="196">
        <f t="shared" si="174"/>
        <v>7</v>
      </c>
      <c r="B218" s="222" t="s">
        <v>178</v>
      </c>
      <c r="C218" s="198">
        <f t="shared" si="196"/>
        <v>7</v>
      </c>
      <c r="D218" s="199">
        <f t="shared" si="207"/>
        <v>32</v>
      </c>
      <c r="E218" s="231" t="s">
        <v>116</v>
      </c>
      <c r="F218" s="200">
        <f t="shared" si="188"/>
        <v>32</v>
      </c>
      <c r="G218" s="201"/>
      <c r="H218" s="231" t="s">
        <v>660</v>
      </c>
      <c r="I218" s="321">
        <v>214</v>
      </c>
      <c r="J218" s="202" t="s">
        <v>49</v>
      </c>
      <c r="K218" s="292">
        <f t="shared" si="204"/>
        <v>0.856419857595623</v>
      </c>
      <c r="L218" s="331">
        <f t="shared" si="204"/>
        <v>0.8478095914269036</v>
      </c>
      <c r="M218" s="342">
        <f t="shared" si="204"/>
        <v>1.6234757363983416</v>
      </c>
      <c r="N218" s="342">
        <f t="shared" si="160"/>
        <v>2.3192510519976308E-2</v>
      </c>
      <c r="O218" s="342">
        <f t="shared" si="205"/>
        <v>2.3192510519976308E-2</v>
      </c>
      <c r="P218" s="203">
        <f t="shared" si="205"/>
        <v>70</v>
      </c>
      <c r="Q218" s="203">
        <f>'Invoer en resultaat'!$H$9</f>
        <v>100</v>
      </c>
      <c r="R218" s="203">
        <f t="shared" si="162"/>
        <v>30</v>
      </c>
      <c r="S218" s="357">
        <f t="shared" si="206"/>
        <v>1</v>
      </c>
      <c r="T218" s="354">
        <f t="shared" si="206"/>
        <v>5.0000000000000001E-3</v>
      </c>
      <c r="U218" s="190">
        <f t="shared" si="206"/>
        <v>0</v>
      </c>
      <c r="W218" s="140" t="s">
        <v>167</v>
      </c>
      <c r="X218" s="140"/>
      <c r="Y218" s="140" t="str">
        <f>'MKI-waarden'!$A$38</f>
        <v>Damwand, kunststof vezelversterkt</v>
      </c>
    </row>
    <row r="219" spans="1:25" s="205" customFormat="1" ht="14.25" customHeight="1" x14ac:dyDescent="0.2">
      <c r="A219" s="196">
        <f t="shared" ref="A219" si="208">C219</f>
        <v>7</v>
      </c>
      <c r="B219" s="222" t="s">
        <v>178</v>
      </c>
      <c r="C219" s="198">
        <f t="shared" ref="C219" si="209">IF(B219=B218,C218,C218+1)</f>
        <v>7</v>
      </c>
      <c r="D219" s="199">
        <f t="shared" ref="D219" si="210">F219</f>
        <v>32</v>
      </c>
      <c r="E219" s="231" t="s">
        <v>116</v>
      </c>
      <c r="F219" s="200">
        <f t="shared" ref="F219" si="211">IF(E219=E218,F218,F218+1)</f>
        <v>32</v>
      </c>
      <c r="G219" s="201"/>
      <c r="H219" s="231" t="str">
        <f>H$83</f>
        <v>glasvezel kunststof (gvk/PET), biobased hars</v>
      </c>
      <c r="I219" s="321">
        <v>215</v>
      </c>
      <c r="J219" s="202" t="str">
        <f t="shared" ref="J219:T219" si="212">J$83</f>
        <v>m2</v>
      </c>
      <c r="K219" s="292">
        <f t="shared" si="212"/>
        <v>0.87786873755604022</v>
      </c>
      <c r="L219" s="331">
        <f t="shared" si="212"/>
        <v>0.87054472561710117</v>
      </c>
      <c r="M219" s="342">
        <f t="shared" si="212"/>
        <v>1.3809509999999998</v>
      </c>
      <c r="N219" s="342">
        <f t="shared" si="212"/>
        <v>1.9727871428571426E-2</v>
      </c>
      <c r="O219" s="342">
        <f t="shared" si="212"/>
        <v>1.9727871428571426E-2</v>
      </c>
      <c r="P219" s="203">
        <f t="shared" si="212"/>
        <v>70</v>
      </c>
      <c r="Q219" s="203">
        <f t="shared" si="212"/>
        <v>100</v>
      </c>
      <c r="R219" s="204">
        <f t="shared" si="212"/>
        <v>30</v>
      </c>
      <c r="S219" s="354">
        <f t="shared" si="212"/>
        <v>1</v>
      </c>
      <c r="T219" s="354">
        <f t="shared" si="212"/>
        <v>5.0000000000000001E-3</v>
      </c>
      <c r="U219" s="315"/>
      <c r="W219" s="140" t="s">
        <v>167</v>
      </c>
      <c r="X219" s="140"/>
      <c r="Y219" s="140" t="str">
        <f>'MKI-waarden'!$A$128</f>
        <v>GVK, glasvezels in polyester, biobased hars</v>
      </c>
    </row>
    <row r="220" spans="1:25" s="205" customFormat="1" ht="14.25" customHeight="1" x14ac:dyDescent="0.2">
      <c r="A220" s="196">
        <f t="shared" ref="A220" si="213">C220</f>
        <v>7</v>
      </c>
      <c r="B220" s="222" t="s">
        <v>178</v>
      </c>
      <c r="C220" s="198">
        <f t="shared" ref="C220" si="214">IF(B220=B218,C218,C218+1)</f>
        <v>7</v>
      </c>
      <c r="D220" s="199">
        <f t="shared" ref="D220" si="215">F220</f>
        <v>32</v>
      </c>
      <c r="E220" s="231" t="s">
        <v>116</v>
      </c>
      <c r="F220" s="200">
        <f t="shared" ref="F220" si="216">IF(E220=E218,F218,F218+1)</f>
        <v>32</v>
      </c>
      <c r="G220" s="201"/>
      <c r="H220" s="231" t="str">
        <f>H$84</f>
        <v>Smart Vislift (gerecycled GVK kunststof)</v>
      </c>
      <c r="I220" s="321">
        <v>216</v>
      </c>
      <c r="J220" s="202" t="str">
        <f t="shared" ref="J220:U220" si="217">J$84</f>
        <v>m2</v>
      </c>
      <c r="K220" s="292">
        <f t="shared" si="217"/>
        <v>-6.6326223371232507E-2</v>
      </c>
      <c r="L220" s="331">
        <f t="shared" si="217"/>
        <v>-0.13027206192635421</v>
      </c>
      <c r="M220" s="342">
        <f t="shared" si="217"/>
        <v>8.612187500000001</v>
      </c>
      <c r="N220" s="342">
        <f t="shared" si="217"/>
        <v>0.17224375000000003</v>
      </c>
      <c r="O220" s="342">
        <f t="shared" si="217"/>
        <v>0.17224375000000003</v>
      </c>
      <c r="P220" s="203">
        <f t="shared" si="217"/>
        <v>50</v>
      </c>
      <c r="Q220" s="203">
        <f t="shared" si="217"/>
        <v>100</v>
      </c>
      <c r="R220" s="190">
        <f t="shared" si="217"/>
        <v>50</v>
      </c>
      <c r="S220" s="354">
        <f t="shared" si="217"/>
        <v>1</v>
      </c>
      <c r="T220" s="365">
        <f t="shared" si="217"/>
        <v>5.0000000000000001E-3</v>
      </c>
      <c r="U220" s="140">
        <f t="shared" si="217"/>
        <v>0</v>
      </c>
      <c r="V220" s="333" t="s">
        <v>167</v>
      </c>
      <c r="W220" s="140" t="s">
        <v>167</v>
      </c>
      <c r="X220" s="184" t="s">
        <v>571</v>
      </c>
      <c r="Y220" s="140" t="str">
        <f>'MKI-waarden'!$A$38</f>
        <v>Damwand, kunststof vezelversterkt</v>
      </c>
    </row>
    <row r="221" spans="1:25" s="205" customFormat="1" ht="14.25" customHeight="1" x14ac:dyDescent="0.2">
      <c r="A221" s="196">
        <f t="shared" si="174"/>
        <v>7</v>
      </c>
      <c r="B221" s="222" t="s">
        <v>178</v>
      </c>
      <c r="C221" s="198">
        <f>IF(B221=B218,C218,C218+1)</f>
        <v>7</v>
      </c>
      <c r="D221" s="199">
        <f t="shared" si="207"/>
        <v>32</v>
      </c>
      <c r="E221" s="231" t="s">
        <v>116</v>
      </c>
      <c r="F221" s="200">
        <f>IF(E221=E218,F218,F218+1)</f>
        <v>32</v>
      </c>
      <c r="G221" s="201"/>
      <c r="H221" s="231" t="s">
        <v>4</v>
      </c>
      <c r="I221" s="321">
        <v>217</v>
      </c>
      <c r="J221" s="202" t="s">
        <v>49</v>
      </c>
      <c r="K221" s="292">
        <f>K85</f>
        <v>-1.1272855713228629</v>
      </c>
      <c r="L221" s="331">
        <f>L85</f>
        <v>-1</v>
      </c>
      <c r="M221" s="342">
        <f>M85</f>
        <v>10.308617647058822</v>
      </c>
      <c r="N221" s="342">
        <f t="shared" si="160"/>
        <v>0.34362058823529407</v>
      </c>
      <c r="O221" s="342">
        <f>O85</f>
        <v>0.32306014093031421</v>
      </c>
      <c r="P221" s="203">
        <f>P85</f>
        <v>30</v>
      </c>
      <c r="Q221" s="203">
        <f>'Invoer en resultaat'!$H$9</f>
        <v>100</v>
      </c>
      <c r="R221" s="203">
        <f t="shared" si="162"/>
        <v>70</v>
      </c>
      <c r="S221" s="357">
        <f>S85</f>
        <v>3</v>
      </c>
      <c r="T221" s="354">
        <f>T85</f>
        <v>5.0000000000000001E-3</v>
      </c>
      <c r="U221" s="190">
        <f>U85</f>
        <v>0</v>
      </c>
      <c r="W221" s="140" t="s">
        <v>167</v>
      </c>
      <c r="X221" s="140"/>
      <c r="Y221" s="140" t="str">
        <f>'MKI-waarden'!$A$39</f>
        <v>Damwand Staal, constructiestaal</v>
      </c>
    </row>
    <row r="222" spans="1:25" s="205" customFormat="1" ht="14.25" customHeight="1" x14ac:dyDescent="0.2">
      <c r="A222" s="196">
        <f t="shared" si="174"/>
        <v>7</v>
      </c>
      <c r="B222" s="222" t="s">
        <v>178</v>
      </c>
      <c r="C222" s="198">
        <f t="shared" si="196"/>
        <v>7</v>
      </c>
      <c r="D222" s="199">
        <f t="shared" si="207"/>
        <v>32</v>
      </c>
      <c r="E222" s="231" t="s">
        <v>116</v>
      </c>
      <c r="F222" s="200">
        <f t="shared" si="188"/>
        <v>32</v>
      </c>
      <c r="G222" s="201"/>
      <c r="H222" s="231" t="s">
        <v>28</v>
      </c>
      <c r="I222" s="321">
        <v>218</v>
      </c>
      <c r="J222" s="202" t="s">
        <v>49</v>
      </c>
      <c r="K222" s="292">
        <f t="shared" ref="K222:M223" si="218">K87</f>
        <v>-5.9997319345783495</v>
      </c>
      <c r="L222" s="331">
        <f t="shared" si="218"/>
        <v>-1</v>
      </c>
      <c r="M222" s="342">
        <f t="shared" si="218"/>
        <v>163.8099775</v>
      </c>
      <c r="N222" s="342">
        <f t="shared" si="160"/>
        <v>3.2761995499999998</v>
      </c>
      <c r="O222" s="342">
        <f>O87</f>
        <v>0.93609286201825148</v>
      </c>
      <c r="P222" s="203">
        <f>P87</f>
        <v>50</v>
      </c>
      <c r="Q222" s="203">
        <f>'Invoer en resultaat'!$H$9</f>
        <v>100</v>
      </c>
      <c r="R222" s="203">
        <f t="shared" si="162"/>
        <v>50</v>
      </c>
      <c r="S222" s="357">
        <f t="shared" ref="S222:U223" si="219">S87</f>
        <v>1</v>
      </c>
      <c r="T222" s="354">
        <f t="shared" si="219"/>
        <v>5.0000000000000001E-3</v>
      </c>
      <c r="U222" s="190">
        <f t="shared" si="219"/>
        <v>0</v>
      </c>
      <c r="W222" s="140" t="s">
        <v>167</v>
      </c>
      <c r="X222" s="140"/>
      <c r="Y222" s="140" t="str">
        <f>'MKI-waarden'!$A$31</f>
        <v>Damwand, Beton</v>
      </c>
    </row>
    <row r="223" spans="1:25" s="205" customFormat="1" ht="14.25" customHeight="1" x14ac:dyDescent="0.2">
      <c r="A223" s="196">
        <f t="shared" si="174"/>
        <v>7</v>
      </c>
      <c r="B223" s="222" t="s">
        <v>178</v>
      </c>
      <c r="C223" s="198">
        <f t="shared" si="196"/>
        <v>7</v>
      </c>
      <c r="D223" s="199">
        <f t="shared" si="207"/>
        <v>32</v>
      </c>
      <c r="E223" s="231" t="s">
        <v>116</v>
      </c>
      <c r="F223" s="200">
        <f t="shared" si="188"/>
        <v>32</v>
      </c>
      <c r="G223" s="201"/>
      <c r="H223" s="231" t="s">
        <v>6</v>
      </c>
      <c r="I223" s="321">
        <v>219</v>
      </c>
      <c r="J223" s="202" t="s">
        <v>49</v>
      </c>
      <c r="K223" s="292">
        <f t="shared" si="218"/>
        <v>0.76065580474896133</v>
      </c>
      <c r="L223" s="331">
        <f t="shared" si="218"/>
        <v>0.5059023945787271</v>
      </c>
      <c r="M223" s="342">
        <f t="shared" si="218"/>
        <v>5.6012098184999992</v>
      </c>
      <c r="N223" s="342">
        <f t="shared" si="160"/>
        <v>0.11202419636999998</v>
      </c>
      <c r="O223" s="342">
        <f>O88</f>
        <v>0.11202419636999998</v>
      </c>
      <c r="P223" s="203">
        <f>P88</f>
        <v>50</v>
      </c>
      <c r="Q223" s="203">
        <f>'Invoer en resultaat'!$H$9</f>
        <v>100</v>
      </c>
      <c r="R223" s="203">
        <f t="shared" si="162"/>
        <v>50</v>
      </c>
      <c r="S223" s="357">
        <f t="shared" si="219"/>
        <v>1</v>
      </c>
      <c r="T223" s="354">
        <f t="shared" si="219"/>
        <v>5.0000000000000001E-3</v>
      </c>
      <c r="U223" s="190">
        <f t="shared" si="219"/>
        <v>0</v>
      </c>
      <c r="W223" s="140" t="s">
        <v>167</v>
      </c>
      <c r="X223" s="140"/>
      <c r="Y223" s="140" t="str">
        <f>'MKI-waarden'!$A$102</f>
        <v>RVS plaat, 1x1, 4 mm dik</v>
      </c>
    </row>
    <row r="224" spans="1:25" s="220" customFormat="1" ht="14.25" customHeight="1" x14ac:dyDescent="0.2">
      <c r="A224" s="208">
        <f t="shared" si="174"/>
        <v>7</v>
      </c>
      <c r="B224" s="252" t="s">
        <v>178</v>
      </c>
      <c r="C224" s="198">
        <f t="shared" si="196"/>
        <v>7</v>
      </c>
      <c r="D224" s="199">
        <f t="shared" si="207"/>
        <v>32</v>
      </c>
      <c r="E224" s="231" t="s">
        <v>116</v>
      </c>
      <c r="F224" s="200">
        <f t="shared" si="188"/>
        <v>32</v>
      </c>
      <c r="G224" s="201"/>
      <c r="H224" s="231" t="s">
        <v>1</v>
      </c>
      <c r="I224" s="321">
        <v>220</v>
      </c>
      <c r="J224" s="215" t="s">
        <v>49</v>
      </c>
      <c r="K224" s="296">
        <f>K86</f>
        <v>0.44109780956509026</v>
      </c>
      <c r="L224" s="331">
        <f>L86</f>
        <v>0.40758135985736121</v>
      </c>
      <c r="M224" s="345">
        <f>M86</f>
        <v>4.5139755102040811</v>
      </c>
      <c r="N224" s="345">
        <f t="shared" si="160"/>
        <v>9.027951020408162E-2</v>
      </c>
      <c r="O224" s="345">
        <f>O86</f>
        <v>9.027951020408162E-2</v>
      </c>
      <c r="P224" s="216">
        <f>P86</f>
        <v>50</v>
      </c>
      <c r="Q224" s="203">
        <f>'Invoer en resultaat'!$H$9</f>
        <v>100</v>
      </c>
      <c r="R224" s="203">
        <f t="shared" si="162"/>
        <v>50</v>
      </c>
      <c r="S224" s="358">
        <f>S86</f>
        <v>1</v>
      </c>
      <c r="T224" s="359">
        <f>T86</f>
        <v>0.1</v>
      </c>
      <c r="U224" s="217">
        <f>U86</f>
        <v>0</v>
      </c>
      <c r="W224" s="229" t="s">
        <v>334</v>
      </c>
      <c r="X224" s="229"/>
      <c r="Y224" s="229" t="str">
        <f>'MKI-waarden'!$A$5</f>
        <v>Kolommen, aluminium, per kg constructiegewicht.</v>
      </c>
    </row>
    <row r="225" spans="1:25" s="205" customFormat="1" ht="14.25" customHeight="1" x14ac:dyDescent="0.2">
      <c r="A225" s="196">
        <f t="shared" si="174"/>
        <v>7</v>
      </c>
      <c r="B225" s="222" t="s">
        <v>178</v>
      </c>
      <c r="C225" s="198">
        <f t="shared" si="196"/>
        <v>7</v>
      </c>
      <c r="D225" s="199">
        <f t="shared" si="207"/>
        <v>33</v>
      </c>
      <c r="E225" s="205" t="s">
        <v>34</v>
      </c>
      <c r="F225" s="200">
        <f t="shared" si="188"/>
        <v>33</v>
      </c>
      <c r="G225" s="201"/>
      <c r="H225" s="205" t="s">
        <v>6</v>
      </c>
      <c r="I225" s="321">
        <v>221</v>
      </c>
      <c r="J225" s="202" t="s">
        <v>49</v>
      </c>
      <c r="K225" s="292">
        <f>1-(N225/AVERAGE($N$225:$N$227))</f>
        <v>-1.2113156076490386</v>
      </c>
      <c r="L225" s="331">
        <f>IF(K225&gt;-1,1-(O225/AVERAGE($O$225:$O$227)),1-(O225/AVERAGE($N$225:$N$227)))</f>
        <v>-1</v>
      </c>
      <c r="M225" s="342">
        <f>T225*'MKI-waarden'!D5</f>
        <v>5.6012098184999992</v>
      </c>
      <c r="N225" s="342">
        <f t="shared" si="160"/>
        <v>0.18670699394999998</v>
      </c>
      <c r="O225" s="342">
        <f>IF(K225&lt;-1,(2*AVERAGE($N$225:$N$227)),N225)</f>
        <v>0.16886508041111112</v>
      </c>
      <c r="P225" s="203">
        <v>30</v>
      </c>
      <c r="Q225" s="203">
        <f>'Invoer en resultaat'!$H$9</f>
        <v>100</v>
      </c>
      <c r="R225" s="203">
        <f t="shared" si="162"/>
        <v>70</v>
      </c>
      <c r="S225" s="357">
        <f>IF(Q225&lt;P225,0,ROUNDDOWN(Q225/P225-0.01,0))</f>
        <v>3</v>
      </c>
      <c r="T225" s="354">
        <v>5.0000000000000001E-3</v>
      </c>
      <c r="U225" s="190">
        <v>0</v>
      </c>
      <c r="W225" s="140" t="s">
        <v>337</v>
      </c>
      <c r="X225" s="184"/>
      <c r="Y225" s="140" t="str">
        <f>'MKI-waarden'!$A$4</f>
        <v>Kolommen, aluminium, per kg constructiegewicht.</v>
      </c>
    </row>
    <row r="226" spans="1:25" s="205" customFormat="1" ht="14.25" customHeight="1" x14ac:dyDescent="0.2">
      <c r="A226" s="196">
        <f t="shared" si="174"/>
        <v>7</v>
      </c>
      <c r="B226" s="222" t="s">
        <v>178</v>
      </c>
      <c r="C226" s="198">
        <f t="shared" si="196"/>
        <v>7</v>
      </c>
      <c r="D226" s="199">
        <f t="shared" si="207"/>
        <v>33</v>
      </c>
      <c r="E226" s="205" t="s">
        <v>34</v>
      </c>
      <c r="F226" s="200">
        <f t="shared" si="188"/>
        <v>33</v>
      </c>
      <c r="G226" s="201"/>
      <c r="H226" s="205" t="s">
        <v>1</v>
      </c>
      <c r="I226" s="321">
        <v>222</v>
      </c>
      <c r="J226" s="221" t="s">
        <v>49</v>
      </c>
      <c r="K226" s="292">
        <f>1-(N226/AVERAGE($N$225:$N$227))</f>
        <v>0.33598634053282883</v>
      </c>
      <c r="L226" s="331">
        <f>IF(K226&gt;-1,1-(O226/AVERAGE($O$225:$O$227)),1-(O226/AVERAGE($N$225:$N$227)))</f>
        <v>0.28566997977058584</v>
      </c>
      <c r="M226" s="342">
        <f>T226*'MKI-waarden'!D20</f>
        <v>4.2048270000000008</v>
      </c>
      <c r="N226" s="342">
        <f t="shared" si="160"/>
        <v>5.6064360000000008E-2</v>
      </c>
      <c r="O226" s="342">
        <f>IF(K226&lt;-1,(2*AVERAGE($N$225:$N$227)),N226)</f>
        <v>5.6064360000000008E-2</v>
      </c>
      <c r="P226" s="203">
        <v>75</v>
      </c>
      <c r="Q226" s="203">
        <f>'Invoer en resultaat'!$H$9</f>
        <v>100</v>
      </c>
      <c r="R226" s="203">
        <f t="shared" si="162"/>
        <v>25</v>
      </c>
      <c r="S226" s="357">
        <f>IF(Q226&lt;P226,0,ROUNDDOWN(Q226/P226-0.01,0))</f>
        <v>1</v>
      </c>
      <c r="T226" s="354">
        <v>0.1</v>
      </c>
      <c r="U226" s="190">
        <v>0</v>
      </c>
      <c r="W226" s="140" t="s">
        <v>147</v>
      </c>
      <c r="X226" s="140"/>
      <c r="Y226" s="140" t="str">
        <f>'MKI-waarden'!$A$31</f>
        <v>Damwand, Beton</v>
      </c>
    </row>
    <row r="227" spans="1:25" s="220" customFormat="1" ht="14.25" customHeight="1" x14ac:dyDescent="0.2">
      <c r="A227" s="208">
        <f t="shared" si="174"/>
        <v>7</v>
      </c>
      <c r="B227" s="252" t="s">
        <v>178</v>
      </c>
      <c r="C227" s="210">
        <f t="shared" si="196"/>
        <v>7</v>
      </c>
      <c r="D227" s="211">
        <f t="shared" si="207"/>
        <v>33</v>
      </c>
      <c r="E227" s="220" t="s">
        <v>34</v>
      </c>
      <c r="F227" s="213">
        <f t="shared" si="188"/>
        <v>33</v>
      </c>
      <c r="G227" s="214"/>
      <c r="H227" s="220" t="s">
        <v>35</v>
      </c>
      <c r="I227" s="321">
        <v>223</v>
      </c>
      <c r="J227" s="228" t="s">
        <v>49</v>
      </c>
      <c r="K227" s="296">
        <f>1-(N227/AVERAGE($N$225:$N$227))</f>
        <v>0.87532926711621006</v>
      </c>
      <c r="L227" s="331">
        <f>IF(K227&gt;-1,1-(O227/AVERAGE($O$225:$O$227)),1-(O227/AVERAGE($N$225:$N$227)))</f>
        <v>0.8658822060763699</v>
      </c>
      <c r="M227" s="345">
        <f>T227/'MKI-waarden'!N89*'MKI-waarden'!D89</f>
        <v>0.15789400000000003</v>
      </c>
      <c r="N227" s="345">
        <f t="shared" si="160"/>
        <v>1.0526266666666669E-2</v>
      </c>
      <c r="O227" s="345">
        <f>IF(K227&lt;-1,(2*AVERAGE($N$225:$N$227)),N227)</f>
        <v>1.0526266666666669E-2</v>
      </c>
      <c r="P227" s="216">
        <v>15</v>
      </c>
      <c r="Q227" s="203">
        <f>'Invoer en resultaat'!$H$9</f>
        <v>100</v>
      </c>
      <c r="R227" s="203">
        <f t="shared" si="162"/>
        <v>85</v>
      </c>
      <c r="S227" s="358">
        <f>IF(Q227&lt;P227,0,ROUNDDOWN(Q227/P227-0.01,0))</f>
        <v>6</v>
      </c>
      <c r="T227" s="359">
        <v>2E-3</v>
      </c>
      <c r="U227" s="217">
        <v>0</v>
      </c>
      <c r="W227" s="229" t="s">
        <v>353</v>
      </c>
      <c r="X227" s="229" t="s">
        <v>267</v>
      </c>
      <c r="Y227" s="229" t="str">
        <f>'MKI-waarden'!$A$89</f>
        <v>Polyester vlies</v>
      </c>
    </row>
    <row r="228" spans="1:25" s="205" customFormat="1" ht="14.25" customHeight="1" x14ac:dyDescent="0.2">
      <c r="A228" s="196">
        <f t="shared" si="174"/>
        <v>8</v>
      </c>
      <c r="B228" s="197" t="s">
        <v>179</v>
      </c>
      <c r="C228" s="318">
        <f t="shared" si="196"/>
        <v>8</v>
      </c>
      <c r="D228" s="319">
        <f t="shared" si="207"/>
        <v>34</v>
      </c>
      <c r="E228" s="339" t="s">
        <v>62</v>
      </c>
      <c r="F228" s="321">
        <f t="shared" si="188"/>
        <v>34</v>
      </c>
      <c r="G228" s="322"/>
      <c r="H228" s="339" t="s">
        <v>90</v>
      </c>
      <c r="I228" s="321">
        <v>224</v>
      </c>
      <c r="J228" s="221" t="s">
        <v>50</v>
      </c>
      <c r="K228" s="292">
        <f>$K$55</f>
        <v>0.52190882455171894</v>
      </c>
      <c r="L228" s="331">
        <f>L$55</f>
        <v>0.26882353194751751</v>
      </c>
      <c r="M228" s="342">
        <f>M$55</f>
        <v>1.4737034161490683</v>
      </c>
      <c r="N228" s="342">
        <f t="shared" si="160"/>
        <v>2.9474068322981366E-2</v>
      </c>
      <c r="O228" s="342">
        <f>O$55</f>
        <v>2.9474068322981366E-2</v>
      </c>
      <c r="P228" s="203">
        <f>$P$55</f>
        <v>50</v>
      </c>
      <c r="Q228" s="203">
        <f>'Invoer en resultaat'!$H$9</f>
        <v>100</v>
      </c>
      <c r="R228" s="203">
        <f t="shared" si="162"/>
        <v>50</v>
      </c>
      <c r="S228" s="357">
        <f>$S$55</f>
        <v>1</v>
      </c>
      <c r="T228" s="354">
        <f>$T$55</f>
        <v>0</v>
      </c>
      <c r="U228" s="190">
        <f>$U$55</f>
        <v>0.15</v>
      </c>
      <c r="V228" s="140">
        <f>$V$55</f>
        <v>0</v>
      </c>
      <c r="W228" s="140">
        <f>$W$55</f>
        <v>0</v>
      </c>
      <c r="X228" s="140">
        <f>$X$55</f>
        <v>0</v>
      </c>
      <c r="Y228" s="140" t="str">
        <f>$Y$55</f>
        <v>Houten lariks paal met betonopzetter</v>
      </c>
    </row>
    <row r="229" spans="1:25" s="205" customFormat="1" ht="14.25" customHeight="1" x14ac:dyDescent="0.2">
      <c r="A229" s="196">
        <f t="shared" si="174"/>
        <v>8</v>
      </c>
      <c r="B229" s="197" t="s">
        <v>179</v>
      </c>
      <c r="C229" s="198">
        <f t="shared" si="196"/>
        <v>8</v>
      </c>
      <c r="D229" s="199">
        <f t="shared" si="207"/>
        <v>34</v>
      </c>
      <c r="E229" s="231" t="s">
        <v>62</v>
      </c>
      <c r="F229" s="200">
        <f t="shared" si="188"/>
        <v>34</v>
      </c>
      <c r="G229" s="201"/>
      <c r="H229" s="231" t="s">
        <v>4</v>
      </c>
      <c r="I229" s="321">
        <v>225</v>
      </c>
      <c r="J229" s="221" t="s">
        <v>50</v>
      </c>
      <c r="K229" s="292">
        <f>$K$56</f>
        <v>0.10571095814782272</v>
      </c>
      <c r="L229" s="331">
        <f>L$56</f>
        <v>-0.36769540334310014</v>
      </c>
      <c r="M229" s="342">
        <f>M$56</f>
        <v>5.5132446850393713</v>
      </c>
      <c r="N229" s="342">
        <f t="shared" ref="N229:N301" si="220">IFERROR(IF(Q229&lt;P229,M229/Q229,M229/P229),"")</f>
        <v>5.5132446850393715E-2</v>
      </c>
      <c r="O229" s="342">
        <f>O$56</f>
        <v>5.5132446850393715E-2</v>
      </c>
      <c r="P229" s="203">
        <f>$P$56</f>
        <v>100</v>
      </c>
      <c r="Q229" s="203">
        <f>'Invoer en resultaat'!$H$9</f>
        <v>100</v>
      </c>
      <c r="R229" s="203">
        <f t="shared" ref="R229:R301" si="221">Q229-P229</f>
        <v>0</v>
      </c>
      <c r="S229" s="357">
        <f>$S$56</f>
        <v>0</v>
      </c>
      <c r="T229" s="354">
        <f>$T$56</f>
        <v>0.01</v>
      </c>
      <c r="U229" s="190">
        <f>$U$56</f>
        <v>0.15</v>
      </c>
      <c r="V229" s="140">
        <f>$V$56</f>
        <v>0</v>
      </c>
      <c r="W229" s="140" t="str">
        <f>$W$56</f>
        <v>Holle buis met diameter: 150 mm</v>
      </c>
      <c r="X229" s="140">
        <f>$X$56</f>
        <v>0</v>
      </c>
      <c r="Y229" s="140" t="str">
        <f>$Y$56</f>
        <v>Buispaal, Staal</v>
      </c>
    </row>
    <row r="230" spans="1:25" s="205" customFormat="1" ht="14.25" customHeight="1" x14ac:dyDescent="0.2">
      <c r="A230" s="196">
        <f t="shared" si="174"/>
        <v>8</v>
      </c>
      <c r="B230" s="197" t="s">
        <v>179</v>
      </c>
      <c r="C230" s="198">
        <f t="shared" si="196"/>
        <v>8</v>
      </c>
      <c r="D230" s="199">
        <f t="shared" si="207"/>
        <v>34</v>
      </c>
      <c r="E230" s="231" t="s">
        <v>62</v>
      </c>
      <c r="F230" s="200">
        <f t="shared" si="188"/>
        <v>34</v>
      </c>
      <c r="G230" s="201"/>
      <c r="H230" s="231" t="s">
        <v>59</v>
      </c>
      <c r="I230" s="321">
        <v>226</v>
      </c>
      <c r="J230" s="221" t="s">
        <v>50</v>
      </c>
      <c r="K230" s="292">
        <f>$K$57</f>
        <v>-3.0768061090229342</v>
      </c>
      <c r="L230" s="331">
        <f>L$57</f>
        <v>-1</v>
      </c>
      <c r="M230" s="342">
        <f>M$57</f>
        <v>25.133294226613152</v>
      </c>
      <c r="N230" s="342">
        <f t="shared" si="220"/>
        <v>0.25133294226613151</v>
      </c>
      <c r="O230" s="342">
        <f>O$57</f>
        <v>0.12329894311621657</v>
      </c>
      <c r="P230" s="203">
        <f>$P$57</f>
        <v>100</v>
      </c>
      <c r="Q230" s="203">
        <f>'Invoer en resultaat'!$H$9</f>
        <v>100</v>
      </c>
      <c r="R230" s="203">
        <f t="shared" si="221"/>
        <v>0</v>
      </c>
      <c r="S230" s="357">
        <f>$S$57</f>
        <v>0</v>
      </c>
      <c r="T230" s="354">
        <f>$T$57</f>
        <v>0.01</v>
      </c>
      <c r="U230" s="190">
        <f>$U$57</f>
        <v>0.15</v>
      </c>
      <c r="V230" s="140">
        <f>$V$57</f>
        <v>0</v>
      </c>
      <c r="W230" s="140">
        <f>$W$57</f>
        <v>0</v>
      </c>
      <c r="X230" s="140">
        <f>$X$57</f>
        <v>0</v>
      </c>
      <c r="Y230" s="140" t="str">
        <f>$Y$57</f>
        <v>Funderingspaal met C20/25 0% betongranulaat Lafgarge Holcim Limburg</v>
      </c>
    </row>
    <row r="231" spans="1:25" s="205" customFormat="1" ht="14.25" customHeight="1" x14ac:dyDescent="0.2">
      <c r="A231" s="196">
        <f t="shared" ref="A231" si="222">C231</f>
        <v>8</v>
      </c>
      <c r="B231" s="197" t="s">
        <v>179</v>
      </c>
      <c r="C231" s="198">
        <f t="shared" si="196"/>
        <v>8</v>
      </c>
      <c r="D231" s="199">
        <f t="shared" ref="D231" si="223">F231</f>
        <v>34</v>
      </c>
      <c r="E231" s="231" t="s">
        <v>62</v>
      </c>
      <c r="F231" s="200">
        <f t="shared" si="188"/>
        <v>34</v>
      </c>
      <c r="G231" s="201"/>
      <c r="H231" s="231" t="s">
        <v>59</v>
      </c>
      <c r="I231" s="321">
        <v>227</v>
      </c>
      <c r="J231" s="221" t="s">
        <v>50</v>
      </c>
      <c r="K231" s="292">
        <f>1-(N231/AVERAGE($N$55:$N$60))</f>
        <v>0.78398881121688002</v>
      </c>
      <c r="L231" s="331">
        <f>IF(K231&gt;-1,1-(O231/AVERAGE($O$55:$O$60)),1-(O231/AVERAGE($N$55:$N$60)))</f>
        <v>0.66963979637113058</v>
      </c>
      <c r="M231" s="342">
        <f>M$58</f>
        <v>1.3316975639118114</v>
      </c>
      <c r="N231" s="342">
        <f t="shared" si="220"/>
        <v>1.3316975639118114E-2</v>
      </c>
      <c r="O231" s="342">
        <f t="shared" ref="O231:U231" si="224">O$58</f>
        <v>1.3316975639118114E-2</v>
      </c>
      <c r="P231" s="203">
        <f t="shared" si="224"/>
        <v>100</v>
      </c>
      <c r="Q231" s="203">
        <f>'Invoer en resultaat'!$H$9</f>
        <v>100</v>
      </c>
      <c r="R231" s="203">
        <f t="shared" si="221"/>
        <v>0</v>
      </c>
      <c r="S231" s="357">
        <f t="shared" si="224"/>
        <v>0</v>
      </c>
      <c r="T231" s="354">
        <f t="shared" si="224"/>
        <v>0</v>
      </c>
      <c r="U231" s="190">
        <f t="shared" si="224"/>
        <v>0.2</v>
      </c>
      <c r="V231" s="140"/>
      <c r="W231" s="140" t="str">
        <f>$W$58</f>
        <v>dikte is diameter</v>
      </c>
      <c r="X231" s="140">
        <f>$X$58</f>
        <v>0</v>
      </c>
      <c r="Y231" s="140" t="str">
        <f>$Y$58</f>
        <v>Betonmortel C20/25 CEM I 30% granulaat – in situ voor GWW</v>
      </c>
    </row>
    <row r="232" spans="1:25" s="205" customFormat="1" ht="14.25" customHeight="1" x14ac:dyDescent="0.2">
      <c r="A232" s="196">
        <f t="shared" si="174"/>
        <v>8</v>
      </c>
      <c r="B232" s="197" t="s">
        <v>179</v>
      </c>
      <c r="C232" s="198">
        <f t="shared" si="196"/>
        <v>8</v>
      </c>
      <c r="D232" s="199">
        <f t="shared" si="207"/>
        <v>34</v>
      </c>
      <c r="E232" s="231" t="s">
        <v>62</v>
      </c>
      <c r="F232" s="200">
        <f t="shared" si="188"/>
        <v>34</v>
      </c>
      <c r="G232" s="201"/>
      <c r="H232" s="231" t="s">
        <v>274</v>
      </c>
      <c r="I232" s="321">
        <v>228</v>
      </c>
      <c r="J232" s="221" t="s">
        <v>50</v>
      </c>
      <c r="K232" s="292">
        <f>$K$59</f>
        <v>0.87947110543834461</v>
      </c>
      <c r="L232" s="331">
        <f>L$59</f>
        <v>0.81566718661722137</v>
      </c>
      <c r="M232" s="342">
        <f>M$59</f>
        <v>0.74305426572090061</v>
      </c>
      <c r="N232" s="342">
        <f t="shared" si="220"/>
        <v>7.430542657209006E-3</v>
      </c>
      <c r="O232" s="342">
        <f>O$59</f>
        <v>7.430542657209006E-3</v>
      </c>
      <c r="P232" s="203">
        <f>$P$59</f>
        <v>100</v>
      </c>
      <c r="Q232" s="203">
        <f>'Invoer en resultaat'!$H$9</f>
        <v>100</v>
      </c>
      <c r="R232" s="203">
        <f t="shared" si="221"/>
        <v>0</v>
      </c>
      <c r="S232" s="357">
        <f>$S$59</f>
        <v>0</v>
      </c>
      <c r="T232" s="354">
        <f>$T$59</f>
        <v>0</v>
      </c>
      <c r="U232" s="190">
        <f>$U$59</f>
        <v>0.15</v>
      </c>
      <c r="V232" s="140">
        <f>$V$59</f>
        <v>0</v>
      </c>
      <c r="W232" s="140" t="str">
        <f>$W$59</f>
        <v>dikte is diameter</v>
      </c>
      <c r="X232" s="140">
        <f>$X$59</f>
        <v>0</v>
      </c>
      <c r="Y232" s="140" t="str">
        <f>$Y$59</f>
        <v>Betonmortel C20/25 (CEM I)</v>
      </c>
    </row>
    <row r="233" spans="1:25" s="220" customFormat="1" ht="14.25" customHeight="1" x14ac:dyDescent="0.2">
      <c r="A233" s="208">
        <f t="shared" si="174"/>
        <v>8</v>
      </c>
      <c r="B233" s="209" t="s">
        <v>179</v>
      </c>
      <c r="C233" s="210">
        <f t="shared" si="196"/>
        <v>8</v>
      </c>
      <c r="D233" s="211">
        <f t="shared" si="207"/>
        <v>34</v>
      </c>
      <c r="E233" s="232" t="s">
        <v>62</v>
      </c>
      <c r="F233" s="213">
        <f t="shared" si="188"/>
        <v>34</v>
      </c>
      <c r="G233" s="214"/>
      <c r="H233" s="232" t="s">
        <v>92</v>
      </c>
      <c r="I233" s="321">
        <v>229</v>
      </c>
      <c r="J233" s="228" t="s">
        <v>50</v>
      </c>
      <c r="K233" s="296">
        <f>$K$60</f>
        <v>0.7857264096681682</v>
      </c>
      <c r="L233" s="331">
        <f>L$60</f>
        <v>0.67229722065283815</v>
      </c>
      <c r="M233" s="345">
        <f>M$60</f>
        <v>1.3209853612816012</v>
      </c>
      <c r="N233" s="345">
        <f t="shared" si="220"/>
        <v>1.3209853612816012E-2</v>
      </c>
      <c r="O233" s="345">
        <f>O$60</f>
        <v>1.3209853612816012E-2</v>
      </c>
      <c r="P233" s="216">
        <f>$P$60</f>
        <v>100</v>
      </c>
      <c r="Q233" s="203">
        <f>'Invoer en resultaat'!$H$9</f>
        <v>100</v>
      </c>
      <c r="R233" s="203">
        <f t="shared" si="221"/>
        <v>0</v>
      </c>
      <c r="S233" s="358">
        <f>$S$60</f>
        <v>0</v>
      </c>
      <c r="T233" s="359">
        <f>$T$60</f>
        <v>0</v>
      </c>
      <c r="U233" s="217">
        <f>$U$60</f>
        <v>0.2</v>
      </c>
      <c r="V233" s="229">
        <f>$V$60</f>
        <v>0</v>
      </c>
      <c r="W233" s="140" t="str">
        <f>$W$60</f>
        <v>dikte is diameter</v>
      </c>
      <c r="X233" s="140">
        <f>$X$60</f>
        <v>0</v>
      </c>
      <c r="Y233" s="140" t="str">
        <f>$Y$60</f>
        <v>Betonmortel C20/25 (CEM I)</v>
      </c>
    </row>
    <row r="234" spans="1:25" s="205" customFormat="1" ht="14.25" customHeight="1" x14ac:dyDescent="0.2">
      <c r="A234" s="196">
        <f t="shared" si="174"/>
        <v>8</v>
      </c>
      <c r="B234" s="222" t="s">
        <v>179</v>
      </c>
      <c r="C234" s="318">
        <f t="shared" si="196"/>
        <v>8</v>
      </c>
      <c r="D234" s="319">
        <f t="shared" si="207"/>
        <v>35</v>
      </c>
      <c r="E234" s="320" t="s">
        <v>7</v>
      </c>
      <c r="F234" s="321">
        <f t="shared" si="188"/>
        <v>35</v>
      </c>
      <c r="G234" s="322"/>
      <c r="H234" s="330" t="s">
        <v>596</v>
      </c>
      <c r="I234" s="321">
        <v>230</v>
      </c>
      <c r="J234" s="221" t="s">
        <v>50</v>
      </c>
      <c r="K234" s="292">
        <f t="shared" ref="K234:K240" si="225">1-(N234/AVERAGE($N$234:$N$240))</f>
        <v>-0.52476957272418012</v>
      </c>
      <c r="L234" s="331">
        <f t="shared" ref="L234:L240" si="226">IF(K234&gt;-1,1-(O234/AVERAGE($O$234:$O$240)),1-(O234/AVERAGE($N$234:$N$240)))</f>
        <v>-0.6889269183500486</v>
      </c>
      <c r="M234" s="342">
        <f>U234/'MKI-waarden'!N92*'MKI-waarden'!E92</f>
        <v>11.219999999999999</v>
      </c>
      <c r="N234" s="342">
        <f t="shared" si="220"/>
        <v>0.37399999999999994</v>
      </c>
      <c r="O234" s="342">
        <f t="shared" ref="O234:O240" si="227">IF(K234&lt;-1,(2*AVERAGE($N$234:$N$240)),N234)</f>
        <v>0.37399999999999994</v>
      </c>
      <c r="P234" s="203">
        <v>30</v>
      </c>
      <c r="Q234" s="203">
        <f>'Invoer en resultaat'!$H$9</f>
        <v>100</v>
      </c>
      <c r="R234" s="203">
        <f t="shared" si="221"/>
        <v>70</v>
      </c>
      <c r="S234" s="357">
        <f t="shared" ref="S234:S240" si="228">IF(Q234&lt;P234,0,ROUNDDOWN(Q234/P234-0.01,0))</f>
        <v>3</v>
      </c>
      <c r="T234" s="354">
        <v>8.9999999999999993E-3</v>
      </c>
      <c r="U234" s="190">
        <v>0.3</v>
      </c>
      <c r="V234" s="140"/>
      <c r="W234" s="140" t="s">
        <v>268</v>
      </c>
      <c r="X234" s="229" t="s">
        <v>267</v>
      </c>
      <c r="Y234" s="140" t="str">
        <f>'MKI-waarden'!A92</f>
        <v>Duiker PVC</v>
      </c>
    </row>
    <row r="235" spans="1:25" s="205" customFormat="1" ht="14.25" customHeight="1" x14ac:dyDescent="0.2">
      <c r="A235" s="196">
        <f t="shared" si="174"/>
        <v>8</v>
      </c>
      <c r="B235" s="197" t="s">
        <v>179</v>
      </c>
      <c r="C235" s="198">
        <f t="shared" si="196"/>
        <v>8</v>
      </c>
      <c r="D235" s="199">
        <f t="shared" si="207"/>
        <v>35</v>
      </c>
      <c r="E235" s="175" t="s">
        <v>7</v>
      </c>
      <c r="F235" s="200">
        <f t="shared" si="188"/>
        <v>35</v>
      </c>
      <c r="G235" s="201"/>
      <c r="H235" s="175" t="s">
        <v>594</v>
      </c>
      <c r="I235" s="321">
        <v>231</v>
      </c>
      <c r="J235" s="221" t="s">
        <v>50</v>
      </c>
      <c r="K235" s="292">
        <f t="shared" si="225"/>
        <v>-0.11682236585061534</v>
      </c>
      <c r="L235" s="331">
        <f t="shared" si="226"/>
        <v>-0.23705994036234346</v>
      </c>
      <c r="M235" s="342">
        <f>U235/'MKI-waarden'!N93*'MKI-waarden'!E93</f>
        <v>10.957499999999998</v>
      </c>
      <c r="N235" s="342">
        <f t="shared" si="220"/>
        <v>0.27393749999999994</v>
      </c>
      <c r="O235" s="342">
        <f t="shared" si="227"/>
        <v>0.27393749999999994</v>
      </c>
      <c r="P235" s="203">
        <v>40</v>
      </c>
      <c r="Q235" s="203">
        <f>'Invoer en resultaat'!$H$9</f>
        <v>100</v>
      </c>
      <c r="R235" s="203">
        <f t="shared" si="221"/>
        <v>60</v>
      </c>
      <c r="S235" s="357">
        <f t="shared" si="228"/>
        <v>2</v>
      </c>
      <c r="T235" s="354">
        <v>0.01</v>
      </c>
      <c r="U235" s="190">
        <v>0.3</v>
      </c>
      <c r="W235" s="140" t="s">
        <v>269</v>
      </c>
      <c r="X235" s="229" t="s">
        <v>267</v>
      </c>
      <c r="Y235" s="140" t="str">
        <f>'MKI-waarden'!A93</f>
        <v>Duiker PE</v>
      </c>
    </row>
    <row r="236" spans="1:25" s="205" customFormat="1" ht="14.25" customHeight="1" x14ac:dyDescent="0.2">
      <c r="A236" s="196">
        <f t="shared" si="174"/>
        <v>8</v>
      </c>
      <c r="B236" s="197" t="s">
        <v>179</v>
      </c>
      <c r="C236" s="198">
        <f t="shared" si="196"/>
        <v>8</v>
      </c>
      <c r="D236" s="199">
        <f t="shared" si="207"/>
        <v>35</v>
      </c>
      <c r="E236" s="175" t="s">
        <v>7</v>
      </c>
      <c r="F236" s="200">
        <f t="shared" si="188"/>
        <v>35</v>
      </c>
      <c r="G236" s="201"/>
      <c r="H236" s="205" t="s">
        <v>595</v>
      </c>
      <c r="I236" s="321">
        <v>232</v>
      </c>
      <c r="J236" s="221" t="s">
        <v>50</v>
      </c>
      <c r="K236" s="292">
        <f t="shared" si="225"/>
        <v>-1.6803736780414766</v>
      </c>
      <c r="L236" s="331">
        <f t="shared" si="226"/>
        <v>-1</v>
      </c>
      <c r="M236" s="342">
        <f>(T236/T235)*M235</f>
        <v>32.872499999999995</v>
      </c>
      <c r="N236" s="342">
        <f t="shared" si="220"/>
        <v>0.65744999999999987</v>
      </c>
      <c r="O236" s="342">
        <f t="shared" si="227"/>
        <v>0.4905659277182518</v>
      </c>
      <c r="P236" s="203">
        <v>50</v>
      </c>
      <c r="Q236" s="203">
        <f>'Invoer en resultaat'!$H$9</f>
        <v>100</v>
      </c>
      <c r="R236" s="203">
        <f t="shared" si="221"/>
        <v>50</v>
      </c>
      <c r="S236" s="357">
        <f t="shared" si="228"/>
        <v>1</v>
      </c>
      <c r="T236" s="354">
        <v>0.03</v>
      </c>
      <c r="U236" s="190">
        <v>0.3</v>
      </c>
      <c r="W236" s="140" t="s">
        <v>268</v>
      </c>
      <c r="X236" s="229" t="s">
        <v>267</v>
      </c>
      <c r="Y236" s="140" t="str">
        <f>Y235</f>
        <v>Duiker PE</v>
      </c>
    </row>
    <row r="237" spans="1:25" s="205" customFormat="1" ht="14.25" customHeight="1" x14ac:dyDescent="0.2">
      <c r="A237" s="196">
        <f t="shared" si="174"/>
        <v>8</v>
      </c>
      <c r="B237" s="197" t="s">
        <v>179</v>
      </c>
      <c r="C237" s="198">
        <f t="shared" si="196"/>
        <v>8</v>
      </c>
      <c r="D237" s="199">
        <f t="shared" si="207"/>
        <v>35</v>
      </c>
      <c r="E237" s="175" t="s">
        <v>7</v>
      </c>
      <c r="F237" s="200">
        <f t="shared" si="188"/>
        <v>35</v>
      </c>
      <c r="G237" s="201"/>
      <c r="H237" s="205" t="s">
        <v>661</v>
      </c>
      <c r="I237" s="321">
        <v>233</v>
      </c>
      <c r="J237" s="221" t="s">
        <v>50</v>
      </c>
      <c r="K237" s="292">
        <f t="shared" si="225"/>
        <v>0.64933568824970089</v>
      </c>
      <c r="L237" s="331">
        <f t="shared" si="226"/>
        <v>0.61158301817260452</v>
      </c>
      <c r="M237" s="342">
        <f>(U237/'MKI-waarden'!$N$94*'MKI-waarden'!$E$94)*'MKI-waarden'!$E$38/'MKI-waarden'!E126</f>
        <v>5.1607189023440325</v>
      </c>
      <c r="N237" s="342">
        <f t="shared" si="220"/>
        <v>8.6011981705733875E-2</v>
      </c>
      <c r="O237" s="342">
        <f t="shared" si="227"/>
        <v>8.6011981705733875E-2</v>
      </c>
      <c r="P237" s="203">
        <v>60</v>
      </c>
      <c r="Q237" s="203">
        <f>'Invoer en resultaat'!$H$9</f>
        <v>100</v>
      </c>
      <c r="R237" s="203">
        <f t="shared" si="221"/>
        <v>40</v>
      </c>
      <c r="S237" s="357">
        <f t="shared" si="228"/>
        <v>1</v>
      </c>
      <c r="T237" s="354">
        <v>5.0000000000000001E-3</v>
      </c>
      <c r="U237" s="190">
        <v>0.3</v>
      </c>
      <c r="W237" s="140" t="s">
        <v>268</v>
      </c>
      <c r="X237" s="229" t="s">
        <v>267</v>
      </c>
      <c r="Y237" s="140" t="str">
        <f>'MKI-waarden'!A94</f>
        <v>Duiker GVK</v>
      </c>
    </row>
    <row r="238" spans="1:25" s="205" customFormat="1" ht="14.25" customHeight="1" x14ac:dyDescent="0.2">
      <c r="A238" s="196">
        <f t="shared" ref="A238" si="229">C238</f>
        <v>8</v>
      </c>
      <c r="B238" s="197" t="s">
        <v>179</v>
      </c>
      <c r="C238" s="198">
        <f t="shared" ref="C238" si="230">IF(B238=B237,C237,C237+1)</f>
        <v>8</v>
      </c>
      <c r="D238" s="199">
        <f t="shared" ref="D238" si="231">F238</f>
        <v>35</v>
      </c>
      <c r="E238" s="175" t="s">
        <v>7</v>
      </c>
      <c r="F238" s="200">
        <f t="shared" ref="F238" si="232">IF(E238=E237,F237,F237+1)</f>
        <v>35</v>
      </c>
      <c r="G238" s="201"/>
      <c r="H238" s="205" t="s">
        <v>659</v>
      </c>
      <c r="I238" s="321">
        <v>234</v>
      </c>
      <c r="J238" s="221" t="s">
        <v>50</v>
      </c>
      <c r="K238" s="292">
        <f t="shared" si="225"/>
        <v>0.70172006817287591</v>
      </c>
      <c r="L238" s="331">
        <f t="shared" si="226"/>
        <v>0.66960712288716684</v>
      </c>
      <c r="M238" s="342">
        <f>(U237/'MKI-waarden'!$N$94*'MKI-waarden'!$E$94)</f>
        <v>4.3897791442953</v>
      </c>
      <c r="N238" s="342">
        <f t="shared" si="220"/>
        <v>7.3162985738254999E-2</v>
      </c>
      <c r="O238" s="342">
        <f t="shared" si="227"/>
        <v>7.3162985738254999E-2</v>
      </c>
      <c r="P238" s="203">
        <v>60</v>
      </c>
      <c r="Q238" s="203">
        <f>'Invoer en resultaat'!$H$9</f>
        <v>100</v>
      </c>
      <c r="R238" s="203">
        <f t="shared" si="221"/>
        <v>40</v>
      </c>
      <c r="S238" s="357">
        <f t="shared" si="228"/>
        <v>1</v>
      </c>
      <c r="T238" s="354">
        <v>5.0000000000000001E-3</v>
      </c>
      <c r="U238" s="190">
        <v>0.3</v>
      </c>
      <c r="W238" s="140" t="s">
        <v>268</v>
      </c>
      <c r="X238" s="229" t="s">
        <v>267</v>
      </c>
      <c r="Y238" s="140" t="str">
        <f>'MKI-waarden'!A127</f>
        <v>GVK, glasvezels in polyester, biobased hars</v>
      </c>
    </row>
    <row r="239" spans="1:25" s="205" customFormat="1" ht="14.25" customHeight="1" x14ac:dyDescent="0.2">
      <c r="A239" s="196">
        <f t="shared" si="174"/>
        <v>8</v>
      </c>
      <c r="B239" s="197" t="s">
        <v>179</v>
      </c>
      <c r="C239" s="198">
        <f>IF(B239=B237,C237,C237+1)</f>
        <v>8</v>
      </c>
      <c r="D239" s="199">
        <f t="shared" si="207"/>
        <v>35</v>
      </c>
      <c r="E239" s="175" t="s">
        <v>7</v>
      </c>
      <c r="F239" s="200">
        <f>IF(E239=E237,F237,F237+1)</f>
        <v>35</v>
      </c>
      <c r="G239" s="201"/>
      <c r="H239" s="205" t="s">
        <v>597</v>
      </c>
      <c r="I239" s="321">
        <v>235</v>
      </c>
      <c r="J239" s="221" t="s">
        <v>50</v>
      </c>
      <c r="K239" s="292">
        <f t="shared" si="225"/>
        <v>0.40999457405036333</v>
      </c>
      <c r="L239" s="331">
        <f t="shared" si="226"/>
        <v>0.34647433705106934</v>
      </c>
      <c r="M239" s="342">
        <f>'MKI-waarden'!D97</f>
        <v>5.7887311827957166</v>
      </c>
      <c r="N239" s="342">
        <f t="shared" si="220"/>
        <v>0.14471827956989292</v>
      </c>
      <c r="O239" s="342">
        <f t="shared" si="227"/>
        <v>0.14471827956989292</v>
      </c>
      <c r="P239" s="203">
        <v>40</v>
      </c>
      <c r="Q239" s="203">
        <f>'Invoer en resultaat'!$H$9</f>
        <v>100</v>
      </c>
      <c r="R239" s="203">
        <f t="shared" si="221"/>
        <v>60</v>
      </c>
      <c r="S239" s="357">
        <f t="shared" si="228"/>
        <v>2</v>
      </c>
      <c r="T239" s="354">
        <v>5.0000000000000001E-3</v>
      </c>
      <c r="U239" s="190">
        <v>0.3</v>
      </c>
      <c r="V239" s="140"/>
      <c r="W239" s="140" t="s">
        <v>268</v>
      </c>
      <c r="X239" s="227"/>
      <c r="Y239" s="140" t="str">
        <f>'MKI-waarden'!A97</f>
        <v>Duiker Staal; 300 mm, 0,005 m</v>
      </c>
    </row>
    <row r="240" spans="1:25" s="220" customFormat="1" ht="14.25" customHeight="1" x14ac:dyDescent="0.2">
      <c r="A240" s="208">
        <f t="shared" si="174"/>
        <v>8</v>
      </c>
      <c r="B240" s="209" t="s">
        <v>179</v>
      </c>
      <c r="C240" s="210">
        <f t="shared" si="196"/>
        <v>8</v>
      </c>
      <c r="D240" s="211">
        <f t="shared" si="207"/>
        <v>35</v>
      </c>
      <c r="E240" s="212" t="s">
        <v>7</v>
      </c>
      <c r="F240" s="213">
        <f t="shared" si="188"/>
        <v>35</v>
      </c>
      <c r="G240" s="214"/>
      <c r="H240" s="212" t="s">
        <v>598</v>
      </c>
      <c r="I240" s="321">
        <v>236</v>
      </c>
      <c r="J240" s="228" t="s">
        <v>50</v>
      </c>
      <c r="K240" s="296">
        <f t="shared" si="225"/>
        <v>0.56091528614333097</v>
      </c>
      <c r="L240" s="331">
        <f t="shared" si="226"/>
        <v>0.51364323768368925</v>
      </c>
      <c r="M240" s="345">
        <f>U240/'MKI-waarden'!N98*'MKI-waarden'!D98</f>
        <v>5.3849999999999998</v>
      </c>
      <c r="N240" s="345">
        <f t="shared" si="220"/>
        <v>0.10769999999999999</v>
      </c>
      <c r="O240" s="345">
        <f t="shared" si="227"/>
        <v>0.10769999999999999</v>
      </c>
      <c r="P240" s="216">
        <v>50</v>
      </c>
      <c r="Q240" s="203">
        <f>'Invoer en resultaat'!$H$9</f>
        <v>100</v>
      </c>
      <c r="R240" s="203">
        <f t="shared" si="221"/>
        <v>50</v>
      </c>
      <c r="S240" s="358">
        <f t="shared" si="228"/>
        <v>1</v>
      </c>
      <c r="T240" s="359">
        <v>7.0000000000000007E-2</v>
      </c>
      <c r="U240" s="217">
        <v>0.3</v>
      </c>
      <c r="V240" s="229"/>
      <c r="W240" s="229" t="s">
        <v>268</v>
      </c>
      <c r="X240" s="230"/>
      <c r="Y240" s="140" t="str">
        <f>'MKI-waarden'!A46</f>
        <v>Vlechtscherm, zachthout (o.b.v. Europees Naaldhout planken)</v>
      </c>
    </row>
    <row r="241" spans="1:25" s="205" customFormat="1" ht="14.25" customHeight="1" x14ac:dyDescent="0.2">
      <c r="A241" s="196">
        <f t="shared" ref="A241:A319" si="233">C241</f>
        <v>8</v>
      </c>
      <c r="B241" s="197" t="s">
        <v>179</v>
      </c>
      <c r="C241" s="318">
        <f t="shared" si="196"/>
        <v>8</v>
      </c>
      <c r="D241" s="319">
        <f t="shared" si="207"/>
        <v>36</v>
      </c>
      <c r="E241" s="339" t="s">
        <v>79</v>
      </c>
      <c r="F241" s="321">
        <f t="shared" si="188"/>
        <v>36</v>
      </c>
      <c r="G241" s="322"/>
      <c r="H241" s="339" t="s">
        <v>133</v>
      </c>
      <c r="I241" s="321">
        <v>237</v>
      </c>
      <c r="J241" s="221" t="s">
        <v>50</v>
      </c>
      <c r="K241" s="336">
        <f>$K$96</f>
        <v>-0.83225471280787522</v>
      </c>
      <c r="L241" s="331">
        <v>-1</v>
      </c>
      <c r="M241" s="345">
        <f>M96</f>
        <v>0.87902413793103451</v>
      </c>
      <c r="N241" s="345">
        <f t="shared" si="220"/>
        <v>7.325201149425288E-2</v>
      </c>
      <c r="O241" s="342">
        <f t="shared" ref="O241:P244" si="234">O96</f>
        <v>7.325201149425288E-2</v>
      </c>
      <c r="P241" s="203">
        <f t="shared" si="234"/>
        <v>12</v>
      </c>
      <c r="Q241" s="203">
        <f>'Invoer en resultaat'!$H$9</f>
        <v>100</v>
      </c>
      <c r="R241" s="203">
        <f t="shared" si="221"/>
        <v>88</v>
      </c>
      <c r="S241" s="357">
        <f t="shared" ref="S241:U244" si="235">S96</f>
        <v>8</v>
      </c>
      <c r="T241" s="354">
        <f t="shared" si="235"/>
        <v>5.0000000000000001E-3</v>
      </c>
      <c r="U241" s="190">
        <f t="shared" si="235"/>
        <v>0.1</v>
      </c>
      <c r="V241" s="140" t="s">
        <v>614</v>
      </c>
      <c r="W241" s="140" t="s">
        <v>270</v>
      </c>
      <c r="X241" s="184"/>
      <c r="Y241" s="140" t="str">
        <f>'MKI-waarden'!$A$54</f>
        <v>Waterleiding bamboe, 100mm</v>
      </c>
    </row>
    <row r="242" spans="1:25" s="205" customFormat="1" ht="14.25" customHeight="1" x14ac:dyDescent="0.2">
      <c r="A242" s="196">
        <f t="shared" si="233"/>
        <v>8</v>
      </c>
      <c r="B242" s="197" t="s">
        <v>179</v>
      </c>
      <c r="C242" s="198">
        <f t="shared" si="196"/>
        <v>8</v>
      </c>
      <c r="D242" s="199">
        <f t="shared" si="207"/>
        <v>36</v>
      </c>
      <c r="E242" s="231" t="s">
        <v>79</v>
      </c>
      <c r="F242" s="200">
        <f t="shared" si="188"/>
        <v>36</v>
      </c>
      <c r="G242" s="201"/>
      <c r="H242" s="231" t="s">
        <v>5</v>
      </c>
      <c r="I242" s="321">
        <v>238</v>
      </c>
      <c r="J242" s="221" t="s">
        <v>50</v>
      </c>
      <c r="K242" s="292">
        <f t="shared" ref="K242:L244" si="236">K97</f>
        <v>0.80999527449102071</v>
      </c>
      <c r="L242" s="331">
        <f t="shared" si="236"/>
        <v>0.76149994472833482</v>
      </c>
      <c r="M242" s="342">
        <f>M97</f>
        <v>0.26586805228984217</v>
      </c>
      <c r="N242" s="342">
        <f t="shared" si="220"/>
        <v>7.5962300654240618E-3</v>
      </c>
      <c r="O242" s="342">
        <f t="shared" si="234"/>
        <v>7.5962300654240618E-3</v>
      </c>
      <c r="P242" s="203">
        <f t="shared" si="234"/>
        <v>35</v>
      </c>
      <c r="Q242" s="203">
        <f>'Invoer en resultaat'!$H$9</f>
        <v>100</v>
      </c>
      <c r="R242" s="203">
        <f t="shared" si="221"/>
        <v>65</v>
      </c>
      <c r="S242" s="357">
        <f t="shared" si="235"/>
        <v>2</v>
      </c>
      <c r="T242" s="354">
        <f t="shared" si="235"/>
        <v>3.0000000000000001E-3</v>
      </c>
      <c r="U242" s="190">
        <f t="shared" si="235"/>
        <v>0.1</v>
      </c>
      <c r="V242" s="140"/>
      <c r="W242" s="140" t="s">
        <v>270</v>
      </c>
      <c r="X242" s="227"/>
      <c r="Y242" s="140" t="str">
        <f>'MKI-waarden'!$A$100</f>
        <v>Reflectorpalen PVC</v>
      </c>
    </row>
    <row r="243" spans="1:25" s="205" customFormat="1" ht="14.25" customHeight="1" x14ac:dyDescent="0.2">
      <c r="A243" s="196">
        <f t="shared" si="233"/>
        <v>8</v>
      </c>
      <c r="B243" s="197" t="s">
        <v>179</v>
      </c>
      <c r="C243" s="198">
        <f t="shared" si="196"/>
        <v>8</v>
      </c>
      <c r="D243" s="199">
        <f t="shared" si="207"/>
        <v>36</v>
      </c>
      <c r="E243" s="231" t="s">
        <v>79</v>
      </c>
      <c r="F243" s="200">
        <f t="shared" si="188"/>
        <v>36</v>
      </c>
      <c r="G243" s="201"/>
      <c r="H243" s="231" t="s">
        <v>135</v>
      </c>
      <c r="I243" s="321">
        <v>239</v>
      </c>
      <c r="J243" s="221" t="s">
        <v>50</v>
      </c>
      <c r="K243" s="292">
        <f t="shared" si="236"/>
        <v>0.79111637177161953</v>
      </c>
      <c r="L243" s="331">
        <f t="shared" si="236"/>
        <v>0.73780253757183334</v>
      </c>
      <c r="M243" s="342">
        <f>M98</f>
        <v>0.62632446088096139</v>
      </c>
      <c r="N243" s="342">
        <f t="shared" si="220"/>
        <v>8.350992811746151E-3</v>
      </c>
      <c r="O243" s="342">
        <f t="shared" si="234"/>
        <v>8.350992811746151E-3</v>
      </c>
      <c r="P243" s="203">
        <f t="shared" si="234"/>
        <v>75</v>
      </c>
      <c r="Q243" s="203">
        <f>'Invoer en resultaat'!$H$9</f>
        <v>100</v>
      </c>
      <c r="R243" s="203">
        <f t="shared" si="221"/>
        <v>25</v>
      </c>
      <c r="S243" s="357">
        <f t="shared" si="235"/>
        <v>1</v>
      </c>
      <c r="T243" s="354">
        <f t="shared" si="235"/>
        <v>0.01</v>
      </c>
      <c r="U243" s="190">
        <f t="shared" si="235"/>
        <v>0.1</v>
      </c>
      <c r="W243" s="140" t="s">
        <v>270</v>
      </c>
      <c r="X243" s="184"/>
      <c r="Y243" s="140" t="str">
        <f>'MKI-waarden'!$A$101</f>
        <v>Reflectorpalen PE</v>
      </c>
    </row>
    <row r="244" spans="1:25" s="205" customFormat="1" ht="14.25" customHeight="1" x14ac:dyDescent="0.2">
      <c r="A244" s="196">
        <f t="shared" si="233"/>
        <v>8</v>
      </c>
      <c r="B244" s="197" t="s">
        <v>179</v>
      </c>
      <c r="C244" s="198">
        <f t="shared" si="196"/>
        <v>8</v>
      </c>
      <c r="D244" s="199">
        <f t="shared" si="207"/>
        <v>36</v>
      </c>
      <c r="E244" s="231" t="s">
        <v>79</v>
      </c>
      <c r="F244" s="200">
        <f t="shared" si="188"/>
        <v>36</v>
      </c>
      <c r="G244" s="201"/>
      <c r="H244" s="231" t="s">
        <v>660</v>
      </c>
      <c r="I244" s="321">
        <v>240</v>
      </c>
      <c r="J244" s="221" t="s">
        <v>50</v>
      </c>
      <c r="K244" s="292">
        <f t="shared" si="236"/>
        <v>0.83840634303338424</v>
      </c>
      <c r="L244" s="331">
        <f t="shared" si="236"/>
        <v>0.83840634303338424</v>
      </c>
      <c r="M244" s="342">
        <f>M99</f>
        <v>0.48452844744127932</v>
      </c>
      <c r="N244" s="342">
        <f t="shared" si="220"/>
        <v>6.4603792992170578E-3</v>
      </c>
      <c r="O244" s="342">
        <f t="shared" si="234"/>
        <v>6.4603792992170578E-3</v>
      </c>
      <c r="P244" s="203">
        <f t="shared" si="234"/>
        <v>75</v>
      </c>
      <c r="Q244" s="203">
        <f>'Invoer en resultaat'!$H$9</f>
        <v>100</v>
      </c>
      <c r="R244" s="203">
        <f t="shared" si="221"/>
        <v>25</v>
      </c>
      <c r="S244" s="357">
        <f t="shared" si="235"/>
        <v>1</v>
      </c>
      <c r="T244" s="354">
        <f t="shared" si="235"/>
        <v>5.0000000000000001E-3</v>
      </c>
      <c r="U244" s="190">
        <f t="shared" si="235"/>
        <v>0.1</v>
      </c>
      <c r="W244" s="140" t="s">
        <v>270</v>
      </c>
      <c r="X244" s="184"/>
      <c r="Y244" s="140" t="s">
        <v>662</v>
      </c>
    </row>
    <row r="245" spans="1:25" s="205" customFormat="1" ht="14.25" customHeight="1" x14ac:dyDescent="0.2">
      <c r="A245" s="196">
        <f t="shared" ref="A245" si="237">C245</f>
        <v>8</v>
      </c>
      <c r="B245" s="197" t="s">
        <v>179</v>
      </c>
      <c r="C245" s="198">
        <f t="shared" ref="C245" si="238">IF(B245=B244,C244,C244+1)</f>
        <v>8</v>
      </c>
      <c r="D245" s="199">
        <f t="shared" ref="D245" si="239">F245</f>
        <v>36</v>
      </c>
      <c r="E245" s="231" t="s">
        <v>79</v>
      </c>
      <c r="F245" s="200">
        <f t="shared" ref="F245" si="240">IF(E245=E244,F244,F244+1)</f>
        <v>36</v>
      </c>
      <c r="G245" s="201"/>
      <c r="H245" s="231" t="s">
        <v>658</v>
      </c>
      <c r="I245" s="321">
        <v>241</v>
      </c>
      <c r="J245" s="221" t="s">
        <v>50</v>
      </c>
      <c r="K245" s="292">
        <f>K$100</f>
        <v>0.8625461919888211</v>
      </c>
      <c r="L245" s="331">
        <f t="shared" ref="L245:U245" si="241">L$100</f>
        <v>0.8625461919888211</v>
      </c>
      <c r="M245" s="342">
        <f t="shared" si="241"/>
        <v>0.41214662407391028</v>
      </c>
      <c r="N245" s="342">
        <f t="shared" si="241"/>
        <v>5.4952883209854701E-3</v>
      </c>
      <c r="O245" s="342">
        <f t="shared" si="241"/>
        <v>5.4952883209854701E-3</v>
      </c>
      <c r="P245" s="203">
        <f t="shared" si="241"/>
        <v>75</v>
      </c>
      <c r="Q245" s="203">
        <f t="shared" si="241"/>
        <v>100</v>
      </c>
      <c r="R245" s="190">
        <f t="shared" si="241"/>
        <v>25</v>
      </c>
      <c r="S245" s="357">
        <f t="shared" si="241"/>
        <v>1</v>
      </c>
      <c r="T245" s="354">
        <f t="shared" si="241"/>
        <v>5.0000000000000001E-3</v>
      </c>
      <c r="U245" s="190">
        <f t="shared" si="241"/>
        <v>0.1</v>
      </c>
      <c r="W245" s="140" t="s">
        <v>270</v>
      </c>
      <c r="X245" s="184"/>
      <c r="Y245" s="140" t="str">
        <f>'MKI-waarden'!$A$128</f>
        <v>GVK, glasvezels in polyester, biobased hars</v>
      </c>
    </row>
    <row r="246" spans="1:25" s="205" customFormat="1" ht="14.25" customHeight="1" x14ac:dyDescent="0.2">
      <c r="A246" s="196">
        <f t="shared" si="233"/>
        <v>8</v>
      </c>
      <c r="B246" s="197" t="s">
        <v>179</v>
      </c>
      <c r="C246" s="198">
        <f>IF(B246=B244,C244,C244+1)</f>
        <v>8</v>
      </c>
      <c r="D246" s="199">
        <f t="shared" si="207"/>
        <v>36</v>
      </c>
      <c r="E246" s="231" t="s">
        <v>79</v>
      </c>
      <c r="F246" s="200">
        <f>IF(E246=E244,F244,F244+1)</f>
        <v>36</v>
      </c>
      <c r="G246" s="201"/>
      <c r="H246" s="231" t="s">
        <v>77</v>
      </c>
      <c r="I246" s="321">
        <v>242</v>
      </c>
      <c r="J246" s="221" t="s">
        <v>50</v>
      </c>
      <c r="K246" s="292">
        <f t="shared" ref="K246:M250" si="242">K101</f>
        <v>0.37810939583626191</v>
      </c>
      <c r="L246" s="331">
        <f t="shared" si="242"/>
        <v>0.21938287024881709</v>
      </c>
      <c r="M246" s="342">
        <f t="shared" si="242"/>
        <v>2.4862666400000002</v>
      </c>
      <c r="N246" s="342">
        <f t="shared" si="220"/>
        <v>2.48626664E-2</v>
      </c>
      <c r="O246" s="342">
        <f t="shared" ref="O246:P250" si="243">O101</f>
        <v>2.48626664E-2</v>
      </c>
      <c r="P246" s="203">
        <f t="shared" si="243"/>
        <v>100</v>
      </c>
      <c r="Q246" s="203">
        <f>'Invoer en resultaat'!$H$9</f>
        <v>100</v>
      </c>
      <c r="R246" s="203">
        <f t="shared" si="221"/>
        <v>0</v>
      </c>
      <c r="S246" s="357">
        <f t="shared" ref="S246:U250" si="244">S101</f>
        <v>0</v>
      </c>
      <c r="T246" s="354">
        <f t="shared" si="244"/>
        <v>0.02</v>
      </c>
      <c r="U246" s="190">
        <f t="shared" si="244"/>
        <v>0.1</v>
      </c>
      <c r="V246" s="140"/>
      <c r="W246" s="140" t="s">
        <v>270</v>
      </c>
      <c r="X246" s="140"/>
      <c r="Y246" s="140" t="str">
        <f>'MKI-waarden'!$A$73</f>
        <v>Keramiek leidingen, gresbuis klein</v>
      </c>
    </row>
    <row r="247" spans="1:25" s="205" customFormat="1" ht="14.25" customHeight="1" x14ac:dyDescent="0.2">
      <c r="A247" s="196">
        <f t="shared" si="233"/>
        <v>8</v>
      </c>
      <c r="B247" s="197" t="s">
        <v>179</v>
      </c>
      <c r="C247" s="198">
        <f t="shared" si="196"/>
        <v>8</v>
      </c>
      <c r="D247" s="199">
        <f t="shared" si="207"/>
        <v>36</v>
      </c>
      <c r="E247" s="231" t="s">
        <v>79</v>
      </c>
      <c r="F247" s="200">
        <f t="shared" si="188"/>
        <v>36</v>
      </c>
      <c r="G247" s="201"/>
      <c r="H247" s="231" t="s">
        <v>32</v>
      </c>
      <c r="I247" s="321">
        <v>243</v>
      </c>
      <c r="J247" s="221" t="s">
        <v>50</v>
      </c>
      <c r="K247" s="292">
        <f t="shared" si="242"/>
        <v>-0.61674153877704763</v>
      </c>
      <c r="L247" s="331">
        <f t="shared" si="242"/>
        <v>-0.61674153877704763</v>
      </c>
      <c r="M247" s="342">
        <f t="shared" si="242"/>
        <v>6.4635974984200004</v>
      </c>
      <c r="N247" s="342">
        <f t="shared" si="220"/>
        <v>6.4635974984199998E-2</v>
      </c>
      <c r="O247" s="342">
        <f t="shared" si="243"/>
        <v>6.4635974984199998E-2</v>
      </c>
      <c r="P247" s="203">
        <f t="shared" si="243"/>
        <v>100</v>
      </c>
      <c r="Q247" s="203">
        <f>'Invoer en resultaat'!$H$9</f>
        <v>100</v>
      </c>
      <c r="R247" s="203">
        <f t="shared" si="221"/>
        <v>0</v>
      </c>
      <c r="S247" s="357">
        <f t="shared" si="244"/>
        <v>0</v>
      </c>
      <c r="T247" s="354">
        <f t="shared" si="244"/>
        <v>0.01</v>
      </c>
      <c r="U247" s="190">
        <f t="shared" si="244"/>
        <v>0.1</v>
      </c>
      <c r="V247" s="140"/>
      <c r="W247" s="140" t="s">
        <v>270</v>
      </c>
      <c r="X247" s="140" t="s">
        <v>267</v>
      </c>
      <c r="Y247" s="140" t="str">
        <f>'MKI-waarden'!$A$63</f>
        <v>Gietijzer (obv gasleiding)</v>
      </c>
    </row>
    <row r="248" spans="1:25" s="205" customFormat="1" ht="14.25" customHeight="1" x14ac:dyDescent="0.2">
      <c r="A248" s="196">
        <f t="shared" si="233"/>
        <v>8</v>
      </c>
      <c r="B248" s="197" t="s">
        <v>179</v>
      </c>
      <c r="C248" s="198">
        <f t="shared" si="196"/>
        <v>8</v>
      </c>
      <c r="D248" s="199">
        <f t="shared" si="207"/>
        <v>36</v>
      </c>
      <c r="E248" s="231" t="s">
        <v>79</v>
      </c>
      <c r="F248" s="200">
        <f t="shared" si="188"/>
        <v>36</v>
      </c>
      <c r="G248" s="201"/>
      <c r="H248" s="231" t="s">
        <v>4</v>
      </c>
      <c r="I248" s="321">
        <v>244</v>
      </c>
      <c r="J248" s="221" t="s">
        <v>50</v>
      </c>
      <c r="K248" s="292">
        <f t="shared" si="242"/>
        <v>-8.7691151560397529E-2</v>
      </c>
      <c r="L248" s="331">
        <f t="shared" si="242"/>
        <v>-0.36530498949825585</v>
      </c>
      <c r="M248" s="342">
        <f t="shared" si="242"/>
        <v>1.7393993134109393</v>
      </c>
      <c r="N248" s="342">
        <f t="shared" si="220"/>
        <v>4.3484982835273481E-2</v>
      </c>
      <c r="O248" s="342">
        <f t="shared" si="243"/>
        <v>4.3484982835273481E-2</v>
      </c>
      <c r="P248" s="203">
        <f t="shared" si="243"/>
        <v>40</v>
      </c>
      <c r="Q248" s="203">
        <f>'Invoer en resultaat'!$H$9</f>
        <v>100</v>
      </c>
      <c r="R248" s="203">
        <f t="shared" si="221"/>
        <v>60</v>
      </c>
      <c r="S248" s="357">
        <f t="shared" si="244"/>
        <v>2</v>
      </c>
      <c r="T248" s="354">
        <f t="shared" si="244"/>
        <v>5.0000000000000001E-3</v>
      </c>
      <c r="U248" s="190">
        <f t="shared" si="244"/>
        <v>0.1</v>
      </c>
      <c r="V248" s="140"/>
      <c r="W248" s="140" t="s">
        <v>270</v>
      </c>
      <c r="X248" s="227"/>
      <c r="Y248" s="140" t="str">
        <f>'MKI-waarden'!$A$27</f>
        <v>Constructies in kg of m3, wapeningstaal</v>
      </c>
    </row>
    <row r="249" spans="1:25" s="205" customFormat="1" ht="14.25" customHeight="1" x14ac:dyDescent="0.2">
      <c r="A249" s="196">
        <f t="shared" si="233"/>
        <v>8</v>
      </c>
      <c r="B249" s="197" t="s">
        <v>179</v>
      </c>
      <c r="C249" s="198">
        <f t="shared" si="196"/>
        <v>8</v>
      </c>
      <c r="D249" s="199">
        <f t="shared" si="207"/>
        <v>36</v>
      </c>
      <c r="E249" s="231" t="s">
        <v>79</v>
      </c>
      <c r="F249" s="200">
        <f t="shared" si="188"/>
        <v>36</v>
      </c>
      <c r="G249" s="201"/>
      <c r="H249" s="231" t="s">
        <v>117</v>
      </c>
      <c r="I249" s="321">
        <v>245</v>
      </c>
      <c r="J249" s="221" t="s">
        <v>50</v>
      </c>
      <c r="K249" s="292">
        <f t="shared" si="242"/>
        <v>-3.0333466886390008</v>
      </c>
      <c r="L249" s="331">
        <f t="shared" si="242"/>
        <v>-1</v>
      </c>
      <c r="M249" s="342">
        <f t="shared" si="242"/>
        <v>9.6749897030545995</v>
      </c>
      <c r="N249" s="342">
        <f t="shared" si="220"/>
        <v>0.16124982838424332</v>
      </c>
      <c r="O249" s="342">
        <f t="shared" si="243"/>
        <v>7.9958327826589543E-2</v>
      </c>
      <c r="P249" s="203">
        <f t="shared" si="243"/>
        <v>60</v>
      </c>
      <c r="Q249" s="203">
        <f>'Invoer en resultaat'!$H$9</f>
        <v>100</v>
      </c>
      <c r="R249" s="203">
        <f t="shared" si="221"/>
        <v>40</v>
      </c>
      <c r="S249" s="357">
        <f t="shared" si="244"/>
        <v>1</v>
      </c>
      <c r="T249" s="354">
        <f t="shared" si="244"/>
        <v>5.0000000000000001E-3</v>
      </c>
      <c r="U249" s="190">
        <f t="shared" si="244"/>
        <v>0.1</v>
      </c>
      <c r="V249" s="140"/>
      <c r="W249" s="140" t="s">
        <v>270</v>
      </c>
      <c r="X249" s="227"/>
      <c r="Y249" s="140" t="str">
        <f>'MKI-waarden'!$A$56</f>
        <v>Hemelwaterafvoer, koper, d = 80 mm, wd = 0,65 mm</v>
      </c>
    </row>
    <row r="250" spans="1:25" s="220" customFormat="1" ht="14.25" customHeight="1" x14ac:dyDescent="0.2">
      <c r="A250" s="208">
        <f t="shared" si="233"/>
        <v>8</v>
      </c>
      <c r="B250" s="209" t="s">
        <v>179</v>
      </c>
      <c r="C250" s="210">
        <f t="shared" si="196"/>
        <v>8</v>
      </c>
      <c r="D250" s="211">
        <f t="shared" si="207"/>
        <v>36</v>
      </c>
      <c r="E250" s="232" t="s">
        <v>79</v>
      </c>
      <c r="F250" s="213">
        <f t="shared" si="188"/>
        <v>36</v>
      </c>
      <c r="G250" s="214"/>
      <c r="H250" s="232" t="s">
        <v>1</v>
      </c>
      <c r="I250" s="321">
        <v>246</v>
      </c>
      <c r="J250" s="228" t="s">
        <v>50</v>
      </c>
      <c r="K250" s="296">
        <f t="shared" si="242"/>
        <v>0.88986051466321292</v>
      </c>
      <c r="L250" s="331">
        <f t="shared" si="242"/>
        <v>0.86174936823255432</v>
      </c>
      <c r="M250" s="345">
        <f t="shared" si="242"/>
        <v>0.33024634032040029</v>
      </c>
      <c r="N250" s="345">
        <f t="shared" si="220"/>
        <v>4.4032845376053373E-3</v>
      </c>
      <c r="O250" s="345">
        <f t="shared" si="243"/>
        <v>4.4032845376053373E-3</v>
      </c>
      <c r="P250" s="216">
        <f t="shared" si="243"/>
        <v>75</v>
      </c>
      <c r="Q250" s="203">
        <f>'Invoer en resultaat'!$H$9</f>
        <v>100</v>
      </c>
      <c r="R250" s="203">
        <f t="shared" si="221"/>
        <v>25</v>
      </c>
      <c r="S250" s="358">
        <f t="shared" si="244"/>
        <v>1</v>
      </c>
      <c r="T250" s="359">
        <f t="shared" si="244"/>
        <v>0.05</v>
      </c>
      <c r="U250" s="217">
        <f t="shared" si="244"/>
        <v>0.1</v>
      </c>
      <c r="V250" s="229"/>
      <c r="W250" s="229" t="s">
        <v>270</v>
      </c>
      <c r="X250" s="230"/>
      <c r="Y250" s="229" t="str">
        <f>'MKI-waarden'!$A$20</f>
        <v>Betonmortel C20/25 (CEM I)</v>
      </c>
    </row>
    <row r="251" spans="1:25" s="205" customFormat="1" ht="14.25" customHeight="1" x14ac:dyDescent="0.2">
      <c r="A251" s="196">
        <f t="shared" si="233"/>
        <v>8</v>
      </c>
      <c r="B251" s="197" t="s">
        <v>179</v>
      </c>
      <c r="C251" s="318">
        <f t="shared" si="196"/>
        <v>8</v>
      </c>
      <c r="D251" s="319">
        <f t="shared" si="207"/>
        <v>37</v>
      </c>
      <c r="E251" s="320" t="s">
        <v>169</v>
      </c>
      <c r="F251" s="321">
        <f t="shared" si="188"/>
        <v>37</v>
      </c>
      <c r="G251" s="322"/>
      <c r="H251" s="330" t="s">
        <v>354</v>
      </c>
      <c r="I251" s="321">
        <v>247</v>
      </c>
      <c r="J251" s="202" t="s">
        <v>50</v>
      </c>
      <c r="K251" s="292">
        <f>1-(N251/AVERAGE($N$251:$N$253))</f>
        <v>-8.5209003215434009E-2</v>
      </c>
      <c r="L251" s="331">
        <f>IF(K251&gt;-1,1-(O251/AVERAGE($O$251:$O$253)),1-(O251/AVERAGE($N$251:$N$253)))</f>
        <v>-8.5209003215434009E-2</v>
      </c>
      <c r="M251" s="342">
        <f>'MKI-waarden'!D60</f>
        <v>1.8</v>
      </c>
      <c r="N251" s="342">
        <f t="shared" si="220"/>
        <v>4.4999999999999998E-2</v>
      </c>
      <c r="O251" s="342">
        <f>IF(K251&lt;-1,(2*AVERAGE($N$251:$N$253)),N251)</f>
        <v>4.4999999999999998E-2</v>
      </c>
      <c r="P251" s="203">
        <v>40</v>
      </c>
      <c r="Q251" s="203">
        <f>'Invoer en resultaat'!$H$9</f>
        <v>100</v>
      </c>
      <c r="R251" s="203">
        <f t="shared" si="221"/>
        <v>60</v>
      </c>
      <c r="S251" s="357">
        <f>IF(Q251&lt;P251,0,ROUNDDOWN(Q251/P251-0.01,0))</f>
        <v>2</v>
      </c>
      <c r="T251" s="354">
        <v>0.01</v>
      </c>
      <c r="U251" s="190">
        <v>0</v>
      </c>
      <c r="V251" s="140"/>
      <c r="W251" s="140" t="s">
        <v>170</v>
      </c>
      <c r="X251" s="229" t="s">
        <v>605</v>
      </c>
      <c r="Y251" s="140" t="str">
        <f>'MKI-waarden'!A60</f>
        <v>Goot, pet</v>
      </c>
    </row>
    <row r="252" spans="1:25" s="205" customFormat="1" ht="14.25" customHeight="1" x14ac:dyDescent="0.2">
      <c r="A252" s="196">
        <f t="shared" si="233"/>
        <v>8</v>
      </c>
      <c r="B252" s="197" t="s">
        <v>179</v>
      </c>
      <c r="C252" s="198">
        <f t="shared" si="196"/>
        <v>8</v>
      </c>
      <c r="D252" s="199">
        <f t="shared" si="207"/>
        <v>37</v>
      </c>
      <c r="E252" s="175" t="s">
        <v>169</v>
      </c>
      <c r="F252" s="200">
        <f t="shared" si="188"/>
        <v>37</v>
      </c>
      <c r="G252" s="201"/>
      <c r="H252" s="205" t="s">
        <v>4</v>
      </c>
      <c r="I252" s="321">
        <v>248</v>
      </c>
      <c r="J252" s="202" t="s">
        <v>50</v>
      </c>
      <c r="K252" s="292">
        <f>1-(N252/AVERAGE($N$251:$N$253))</f>
        <v>-6.1093247588424493E-2</v>
      </c>
      <c r="L252" s="331">
        <f>IF(K252&gt;-1,1-(O252/AVERAGE($O$251:$O$253)),1-(O252/AVERAGE($N$251:$N$253)))</f>
        <v>-6.1093247588424493E-2</v>
      </c>
      <c r="M252" s="342">
        <f>'MKI-waarden'!D61</f>
        <v>2.2000000000000002</v>
      </c>
      <c r="N252" s="342">
        <f t="shared" si="220"/>
        <v>4.4000000000000004E-2</v>
      </c>
      <c r="O252" s="342">
        <f>IF(K252&lt;-1,(2*AVERAGE($N$251:$N$253)),N252)</f>
        <v>4.4000000000000004E-2</v>
      </c>
      <c r="P252" s="203">
        <v>50</v>
      </c>
      <c r="Q252" s="203">
        <f>'Invoer en resultaat'!$H$9</f>
        <v>100</v>
      </c>
      <c r="R252" s="203">
        <f t="shared" si="221"/>
        <v>50</v>
      </c>
      <c r="S252" s="357">
        <f>IF(Q252&lt;P252,0,ROUNDDOWN(Q252/P252-0.01,0))</f>
        <v>1</v>
      </c>
      <c r="T252" s="354">
        <v>7.0000000000000001E-3</v>
      </c>
      <c r="U252" s="190">
        <v>0</v>
      </c>
      <c r="V252" s="140"/>
      <c r="W252" s="140" t="s">
        <v>170</v>
      </c>
      <c r="X252" s="229" t="s">
        <v>605</v>
      </c>
      <c r="Y252" s="140" t="str">
        <f>'MKI-waarden'!A61</f>
        <v>Goot, staal</v>
      </c>
    </row>
    <row r="253" spans="1:25" s="220" customFormat="1" ht="14.25" customHeight="1" x14ac:dyDescent="0.2">
      <c r="A253" s="208">
        <f t="shared" si="233"/>
        <v>8</v>
      </c>
      <c r="B253" s="209" t="s">
        <v>179</v>
      </c>
      <c r="C253" s="210">
        <f t="shared" si="196"/>
        <v>8</v>
      </c>
      <c r="D253" s="211">
        <f t="shared" si="207"/>
        <v>37</v>
      </c>
      <c r="E253" s="212" t="s">
        <v>169</v>
      </c>
      <c r="F253" s="213">
        <f t="shared" si="188"/>
        <v>37</v>
      </c>
      <c r="G253" s="214"/>
      <c r="H253" s="220" t="s">
        <v>1</v>
      </c>
      <c r="I253" s="321">
        <v>249</v>
      </c>
      <c r="J253" s="215" t="s">
        <v>50</v>
      </c>
      <c r="K253" s="296">
        <f>1-(N253/AVERAGE($N$251:$N$253))</f>
        <v>0.1463022508038585</v>
      </c>
      <c r="L253" s="331">
        <f>IF(K253&gt;-1,1-(O253/AVERAGE($O$251:$O$253)),1-(O253/AVERAGE($N$251:$N$253)))</f>
        <v>0.1463022508038585</v>
      </c>
      <c r="M253" s="342">
        <f>'MKI-waarden'!D62</f>
        <v>1.77</v>
      </c>
      <c r="N253" s="345">
        <f t="shared" si="220"/>
        <v>3.5400000000000001E-2</v>
      </c>
      <c r="O253" s="345">
        <f>IF(K253&lt;-1,(2*AVERAGE($N$251:$N$253)),N253)</f>
        <v>3.5400000000000001E-2</v>
      </c>
      <c r="P253" s="216">
        <v>50</v>
      </c>
      <c r="Q253" s="203">
        <f>'Invoer en resultaat'!$H$9</f>
        <v>100</v>
      </c>
      <c r="R253" s="203">
        <f t="shared" si="221"/>
        <v>50</v>
      </c>
      <c r="S253" s="358">
        <f>IF(Q253&lt;P253,0,ROUNDDOWN(Q253/P253-0.01,0))</f>
        <v>1</v>
      </c>
      <c r="T253" s="359">
        <v>0.05</v>
      </c>
      <c r="U253" s="217">
        <v>0</v>
      </c>
      <c r="W253" s="229" t="s">
        <v>170</v>
      </c>
      <c r="X253" s="229" t="s">
        <v>605</v>
      </c>
      <c r="Y253" s="140" t="str">
        <f>'MKI-waarden'!A62</f>
        <v>Goot, beton</v>
      </c>
    </row>
    <row r="254" spans="1:25" s="205" customFormat="1" ht="14.25" customHeight="1" x14ac:dyDescent="0.2">
      <c r="A254" s="196">
        <f t="shared" si="233"/>
        <v>8</v>
      </c>
      <c r="B254" s="197" t="s">
        <v>179</v>
      </c>
      <c r="C254" s="210">
        <f t="shared" si="196"/>
        <v>8</v>
      </c>
      <c r="D254" s="199">
        <f t="shared" si="207"/>
        <v>38</v>
      </c>
      <c r="E254" s="231" t="s">
        <v>220</v>
      </c>
      <c r="F254" s="213">
        <f t="shared" ref="F254:F326" si="245">IF(E254=E253,F253,F253+1)</f>
        <v>38</v>
      </c>
      <c r="G254" s="201"/>
      <c r="H254" s="231" t="s">
        <v>12</v>
      </c>
      <c r="I254" s="321">
        <v>250</v>
      </c>
      <c r="J254" s="202" t="s">
        <v>49</v>
      </c>
      <c r="K254" s="292">
        <f>$K$5</f>
        <v>0.43856308421972479</v>
      </c>
      <c r="L254" s="331">
        <f>L$5</f>
        <v>0.42114143562119966</v>
      </c>
      <c r="M254" s="342">
        <f>M$5</f>
        <v>2.003916666666667</v>
      </c>
      <c r="N254" s="342">
        <f t="shared" si="220"/>
        <v>0.20039166666666669</v>
      </c>
      <c r="O254" s="342">
        <f>O$5</f>
        <v>0.20039166666666669</v>
      </c>
      <c r="P254" s="203">
        <f>$P$5</f>
        <v>10</v>
      </c>
      <c r="Q254" s="203">
        <f>'Invoer en resultaat'!$H$9</f>
        <v>100</v>
      </c>
      <c r="R254" s="203">
        <f t="shared" si="221"/>
        <v>90</v>
      </c>
      <c r="S254" s="357">
        <f>$S$5</f>
        <v>9</v>
      </c>
      <c r="T254" s="356">
        <v>0.1</v>
      </c>
      <c r="U254" s="327">
        <v>0</v>
      </c>
      <c r="V254" s="140">
        <f>$V$5</f>
        <v>0</v>
      </c>
      <c r="W254" s="140" t="s">
        <v>331</v>
      </c>
      <c r="X254" s="329"/>
      <c r="Y254" s="140" t="str">
        <f>$Y$5</f>
        <v>Damwanden, Europees naaldhout, damwandplanken</v>
      </c>
    </row>
    <row r="255" spans="1:25" s="205" customFormat="1" ht="14.25" customHeight="1" x14ac:dyDescent="0.2">
      <c r="A255" s="196">
        <f t="shared" si="233"/>
        <v>8</v>
      </c>
      <c r="B255" s="197" t="s">
        <v>179</v>
      </c>
      <c r="C255" s="210">
        <f t="shared" si="196"/>
        <v>8</v>
      </c>
      <c r="D255" s="199">
        <f t="shared" si="207"/>
        <v>38</v>
      </c>
      <c r="E255" s="231" t="s">
        <v>220</v>
      </c>
      <c r="F255" s="213">
        <f t="shared" si="245"/>
        <v>38</v>
      </c>
      <c r="G255" s="201"/>
      <c r="H255" s="231" t="s">
        <v>13</v>
      </c>
      <c r="I255" s="321">
        <v>251</v>
      </c>
      <c r="J255" s="202" t="s">
        <v>49</v>
      </c>
      <c r="K255" s="292">
        <f>$K$6</f>
        <v>9.0963427471344005E-2</v>
      </c>
      <c r="L255" s="331">
        <f>L$6</f>
        <v>6.2755599869213419E-2</v>
      </c>
      <c r="M255" s="342">
        <f>M$6</f>
        <v>6.4891833333333322</v>
      </c>
      <c r="N255" s="342">
        <f t="shared" si="220"/>
        <v>0.32445916666666663</v>
      </c>
      <c r="O255" s="342">
        <f>O$6</f>
        <v>0.32445916666666663</v>
      </c>
      <c r="P255" s="203">
        <f>$P$6</f>
        <v>20</v>
      </c>
      <c r="Q255" s="203">
        <f>'Invoer en resultaat'!$H$9</f>
        <v>100</v>
      </c>
      <c r="R255" s="203">
        <f t="shared" si="221"/>
        <v>80</v>
      </c>
      <c r="S255" s="357">
        <f>$S$6</f>
        <v>4</v>
      </c>
      <c r="T255" s="354">
        <v>0.1</v>
      </c>
      <c r="U255" s="190">
        <v>0</v>
      </c>
      <c r="V255" s="140">
        <f>$V$6</f>
        <v>0</v>
      </c>
      <c r="W255" s="140" t="s">
        <v>331</v>
      </c>
      <c r="X255" s="140"/>
      <c r="Y255" s="140" t="str">
        <f>$Y$6</f>
        <v>Damwand, tropisch hardhout, damwandplanken</v>
      </c>
    </row>
    <row r="256" spans="1:25" s="205" customFormat="1" ht="14.25" customHeight="1" x14ac:dyDescent="0.2">
      <c r="A256" s="196">
        <f t="shared" si="233"/>
        <v>8</v>
      </c>
      <c r="B256" s="197" t="s">
        <v>179</v>
      </c>
      <c r="C256" s="210">
        <f t="shared" si="196"/>
        <v>8</v>
      </c>
      <c r="D256" s="199">
        <f t="shared" si="207"/>
        <v>38</v>
      </c>
      <c r="E256" s="231" t="s">
        <v>220</v>
      </c>
      <c r="F256" s="213">
        <f t="shared" si="245"/>
        <v>38</v>
      </c>
      <c r="G256" s="201"/>
      <c r="H256" s="231" t="s">
        <v>109</v>
      </c>
      <c r="I256" s="321">
        <v>252</v>
      </c>
      <c r="J256" s="202" t="s">
        <v>49</v>
      </c>
      <c r="K256" s="292">
        <f>$K$7</f>
        <v>0.61476653593485509</v>
      </c>
      <c r="L256" s="331">
        <f>L$7</f>
        <v>0.60281256238823122</v>
      </c>
      <c r="M256" s="342">
        <f>M$7</f>
        <v>2.7500000000000004</v>
      </c>
      <c r="N256" s="342">
        <f t="shared" si="220"/>
        <v>0.13750000000000001</v>
      </c>
      <c r="O256" s="342">
        <f>O$7</f>
        <v>0.13750000000000001</v>
      </c>
      <c r="P256" s="203">
        <f>$P$7</f>
        <v>20</v>
      </c>
      <c r="Q256" s="203">
        <f>'Invoer en resultaat'!$H$9</f>
        <v>100</v>
      </c>
      <c r="R256" s="203">
        <f t="shared" si="221"/>
        <v>80</v>
      </c>
      <c r="S256" s="357">
        <f>$S$7</f>
        <v>4</v>
      </c>
      <c r="T256" s="354">
        <v>0.1</v>
      </c>
      <c r="U256" s="190">
        <v>0</v>
      </c>
      <c r="V256" s="140">
        <f>$V$7</f>
        <v>0</v>
      </c>
      <c r="W256" s="140"/>
      <c r="X256" s="140"/>
      <c r="Y256" s="140" t="str">
        <f>$Y$7</f>
        <v>Damwand Twinwood 80% EU naaldhout, 20% azobe hardhout</v>
      </c>
    </row>
    <row r="257" spans="1:25" s="205" customFormat="1" ht="14.25" customHeight="1" x14ac:dyDescent="0.2">
      <c r="A257" s="196">
        <f t="shared" si="233"/>
        <v>8</v>
      </c>
      <c r="B257" s="197" t="s">
        <v>179</v>
      </c>
      <c r="C257" s="210">
        <f t="shared" si="196"/>
        <v>8</v>
      </c>
      <c r="D257" s="199">
        <f t="shared" si="207"/>
        <v>38</v>
      </c>
      <c r="E257" s="231" t="s">
        <v>220</v>
      </c>
      <c r="F257" s="213">
        <f t="shared" si="245"/>
        <v>38</v>
      </c>
      <c r="G257" s="201"/>
      <c r="H257" s="231" t="s">
        <v>110</v>
      </c>
      <c r="I257" s="321">
        <v>253</v>
      </c>
      <c r="J257" s="202" t="s">
        <v>49</v>
      </c>
      <c r="K257" s="292">
        <f>$K$8</f>
        <v>0.84824025085611443</v>
      </c>
      <c r="L257" s="331">
        <f>L$8</f>
        <v>0.8435310752627877</v>
      </c>
      <c r="M257" s="342">
        <f>M$8</f>
        <v>2.1666825396825398</v>
      </c>
      <c r="N257" s="342">
        <f t="shared" si="220"/>
        <v>5.4167063492063496E-2</v>
      </c>
      <c r="O257" s="342">
        <f>O$8</f>
        <v>5.4167063492063496E-2</v>
      </c>
      <c r="P257" s="203">
        <f>$P$8</f>
        <v>40</v>
      </c>
      <c r="Q257" s="203">
        <f>'Invoer en resultaat'!$H$9</f>
        <v>100</v>
      </c>
      <c r="R257" s="203">
        <f t="shared" si="221"/>
        <v>60</v>
      </c>
      <c r="S257" s="357">
        <f>$S$8</f>
        <v>2</v>
      </c>
      <c r="T257" s="354">
        <v>0.1</v>
      </c>
      <c r="U257" s="190">
        <v>0</v>
      </c>
      <c r="V257" s="140" t="str">
        <f>$V$8</f>
        <v>Kunststof: gerecycled PE</v>
      </c>
      <c r="W257" s="140"/>
      <c r="X257" s="207"/>
      <c r="Y257" s="140" t="str">
        <f>$Y$8</f>
        <v>Combi-plank gerecycled kunststof en Europees naaldhout</v>
      </c>
    </row>
    <row r="258" spans="1:25" s="205" customFormat="1" ht="14.25" customHeight="1" x14ac:dyDescent="0.2">
      <c r="A258" s="196">
        <f t="shared" si="233"/>
        <v>8</v>
      </c>
      <c r="B258" s="197" t="s">
        <v>179</v>
      </c>
      <c r="C258" s="210">
        <f t="shared" si="196"/>
        <v>8</v>
      </c>
      <c r="D258" s="199">
        <f t="shared" si="207"/>
        <v>38</v>
      </c>
      <c r="E258" s="231" t="s">
        <v>220</v>
      </c>
      <c r="F258" s="213">
        <f t="shared" si="245"/>
        <v>38</v>
      </c>
      <c r="G258" s="201"/>
      <c r="H258" s="231" t="s">
        <v>111</v>
      </c>
      <c r="I258" s="321">
        <v>254</v>
      </c>
      <c r="J258" s="202" t="s">
        <v>49</v>
      </c>
      <c r="K258" s="292">
        <f>$K$9</f>
        <v>-1.4514483244422856</v>
      </c>
      <c r="L258" s="331">
        <f>L$9</f>
        <v>-1</v>
      </c>
      <c r="M258" s="342">
        <f>M$9</f>
        <v>26.249599999999997</v>
      </c>
      <c r="N258" s="342">
        <f t="shared" si="220"/>
        <v>0.87498666666666658</v>
      </c>
      <c r="O258" s="342">
        <f>O$9</f>
        <v>0.71385283380650466</v>
      </c>
      <c r="P258" s="203">
        <f>$P$9</f>
        <v>30</v>
      </c>
      <c r="Q258" s="203">
        <f>'Invoer en resultaat'!$H$9</f>
        <v>100</v>
      </c>
      <c r="R258" s="203">
        <f t="shared" si="221"/>
        <v>70</v>
      </c>
      <c r="S258" s="357">
        <f>$S$9</f>
        <v>3</v>
      </c>
      <c r="T258" s="354">
        <v>0.04</v>
      </c>
      <c r="U258" s="190">
        <v>0</v>
      </c>
      <c r="W258" s="140"/>
      <c r="X258" s="184"/>
      <c r="Y258" s="140" t="str">
        <f>$Y$9</f>
        <v>Damwand PCV nieuw</v>
      </c>
    </row>
    <row r="259" spans="1:25" s="205" customFormat="1" ht="14.25" customHeight="1" x14ac:dyDescent="0.2">
      <c r="A259" s="196">
        <f t="shared" si="233"/>
        <v>8</v>
      </c>
      <c r="B259" s="197" t="s">
        <v>179</v>
      </c>
      <c r="C259" s="210">
        <f t="shared" si="196"/>
        <v>8</v>
      </c>
      <c r="D259" s="199">
        <f t="shared" si="207"/>
        <v>38</v>
      </c>
      <c r="E259" s="231" t="s">
        <v>220</v>
      </c>
      <c r="F259" s="213">
        <f t="shared" si="245"/>
        <v>38</v>
      </c>
      <c r="G259" s="201"/>
      <c r="H259" s="231" t="s">
        <v>112</v>
      </c>
      <c r="I259" s="321">
        <v>255</v>
      </c>
      <c r="J259" s="202" t="s">
        <v>49</v>
      </c>
      <c r="K259" s="292">
        <f>$K$10</f>
        <v>-0.79219082619314851</v>
      </c>
      <c r="L259" s="331">
        <f>L$10</f>
        <v>-0.8478033410062229</v>
      </c>
      <c r="M259" s="342">
        <f>M$10</f>
        <v>19.190407499999999</v>
      </c>
      <c r="N259" s="342">
        <f t="shared" si="220"/>
        <v>0.63968024999999995</v>
      </c>
      <c r="O259" s="342">
        <f>O$10</f>
        <v>0.63968024999999995</v>
      </c>
      <c r="P259" s="203">
        <f>$P$10</f>
        <v>30</v>
      </c>
      <c r="Q259" s="203">
        <f>'Invoer en resultaat'!$H$9</f>
        <v>100</v>
      </c>
      <c r="R259" s="203">
        <f t="shared" si="221"/>
        <v>70</v>
      </c>
      <c r="S259" s="357">
        <f>$S$10</f>
        <v>3</v>
      </c>
      <c r="T259" s="354">
        <v>0.04</v>
      </c>
      <c r="U259" s="190">
        <v>0</v>
      </c>
      <c r="W259" s="140"/>
      <c r="X259" s="184"/>
      <c r="Y259" s="140" t="str">
        <f>$Y$10</f>
        <v>Damwand PVC Gerecycled, enkel scherm (ProLock, Omega)</v>
      </c>
    </row>
    <row r="260" spans="1:25" s="205" customFormat="1" ht="14.25" customHeight="1" x14ac:dyDescent="0.2">
      <c r="A260" s="196">
        <f t="shared" si="233"/>
        <v>8</v>
      </c>
      <c r="B260" s="197" t="s">
        <v>179</v>
      </c>
      <c r="C260" s="210">
        <f t="shared" si="196"/>
        <v>8</v>
      </c>
      <c r="D260" s="199">
        <f t="shared" si="207"/>
        <v>38</v>
      </c>
      <c r="E260" s="231" t="s">
        <v>220</v>
      </c>
      <c r="F260" s="213">
        <f t="shared" si="245"/>
        <v>38</v>
      </c>
      <c r="G260" s="201"/>
      <c r="H260" s="231" t="s">
        <v>113</v>
      </c>
      <c r="I260" s="321">
        <v>256</v>
      </c>
      <c r="J260" s="202" t="s">
        <v>49</v>
      </c>
      <c r="K260" s="292">
        <f>$K$11</f>
        <v>-0.7539049236853943</v>
      </c>
      <c r="L260" s="331">
        <f>L$11</f>
        <v>-0.80832940913841056</v>
      </c>
      <c r="M260" s="342">
        <f>M$11</f>
        <v>31.300750000000001</v>
      </c>
      <c r="N260" s="342">
        <f t="shared" si="220"/>
        <v>0.62601499999999999</v>
      </c>
      <c r="O260" s="342">
        <f>O$11</f>
        <v>0.62601499999999999</v>
      </c>
      <c r="P260" s="203">
        <f>$P$11</f>
        <v>50</v>
      </c>
      <c r="Q260" s="203">
        <f>'Invoer en resultaat'!$H$9</f>
        <v>100</v>
      </c>
      <c r="R260" s="203">
        <f t="shared" si="221"/>
        <v>50</v>
      </c>
      <c r="S260" s="357">
        <f>$S$11</f>
        <v>1</v>
      </c>
      <c r="T260" s="354">
        <v>0.05</v>
      </c>
      <c r="U260" s="190">
        <v>0</v>
      </c>
      <c r="W260" s="140"/>
      <c r="X260" s="184"/>
      <c r="Y260" s="140" t="str">
        <f>$Y$11</f>
        <v>Damwand PE nieuw</v>
      </c>
    </row>
    <row r="261" spans="1:25" s="205" customFormat="1" ht="14.25" customHeight="1" x14ac:dyDescent="0.2">
      <c r="A261" s="196">
        <f t="shared" si="233"/>
        <v>8</v>
      </c>
      <c r="B261" s="197" t="s">
        <v>179</v>
      </c>
      <c r="C261" s="210">
        <f t="shared" si="196"/>
        <v>8</v>
      </c>
      <c r="D261" s="199">
        <f t="shared" si="207"/>
        <v>38</v>
      </c>
      <c r="E261" s="231" t="s">
        <v>220</v>
      </c>
      <c r="F261" s="213">
        <f t="shared" si="245"/>
        <v>38</v>
      </c>
      <c r="G261" s="201"/>
      <c r="H261" s="231" t="s">
        <v>114</v>
      </c>
      <c r="I261" s="321">
        <v>257</v>
      </c>
      <c r="J261" s="202" t="s">
        <v>49</v>
      </c>
      <c r="K261" s="292">
        <f>$K$12</f>
        <v>-0.34414311964486144</v>
      </c>
      <c r="L261" s="331">
        <f>L$12</f>
        <v>-0.38585250575466734</v>
      </c>
      <c r="M261" s="342">
        <f>M$12</f>
        <v>23.988009375000001</v>
      </c>
      <c r="N261" s="342">
        <f t="shared" si="220"/>
        <v>0.47976018749999999</v>
      </c>
      <c r="O261" s="342">
        <f>O$12</f>
        <v>0.47976018749999999</v>
      </c>
      <c r="P261" s="203">
        <f>$P$12</f>
        <v>50</v>
      </c>
      <c r="Q261" s="203">
        <f>'Invoer en resultaat'!$H$9</f>
        <v>100</v>
      </c>
      <c r="R261" s="203">
        <f t="shared" si="221"/>
        <v>50</v>
      </c>
      <c r="S261" s="357">
        <f>$S$12</f>
        <v>1</v>
      </c>
      <c r="T261" s="354">
        <v>0.05</v>
      </c>
      <c r="U261" s="190">
        <v>0</v>
      </c>
      <c r="W261" s="140"/>
      <c r="X261" s="184"/>
      <c r="Y261" s="140" t="str">
        <f>$Y$12</f>
        <v>Damwand PE gerecycled</v>
      </c>
    </row>
    <row r="262" spans="1:25" s="205" customFormat="1" ht="14.25" customHeight="1" x14ac:dyDescent="0.2">
      <c r="A262" s="196">
        <f>C262</f>
        <v>8</v>
      </c>
      <c r="B262" s="197" t="s">
        <v>179</v>
      </c>
      <c r="C262" s="210">
        <f t="shared" si="196"/>
        <v>8</v>
      </c>
      <c r="D262" s="199">
        <f t="shared" si="207"/>
        <v>38</v>
      </c>
      <c r="E262" s="231" t="s">
        <v>220</v>
      </c>
      <c r="F262" s="213">
        <f t="shared" si="245"/>
        <v>38</v>
      </c>
      <c r="G262" s="201"/>
      <c r="H262" s="231" t="s">
        <v>660</v>
      </c>
      <c r="I262" s="321">
        <v>258</v>
      </c>
      <c r="J262" s="202" t="s">
        <v>49</v>
      </c>
      <c r="K262" s="292">
        <f>$K$13</f>
        <v>-0.22558719032280861</v>
      </c>
      <c r="L262" s="331">
        <f>L$13</f>
        <v>-0.26361773081012818</v>
      </c>
      <c r="M262" s="342">
        <f>M$13</f>
        <v>26.246666666666666</v>
      </c>
      <c r="N262" s="342">
        <f t="shared" si="220"/>
        <v>0.43744444444444441</v>
      </c>
      <c r="O262" s="342">
        <f>O$13</f>
        <v>0.43744444444444441</v>
      </c>
      <c r="P262" s="203">
        <f>$P$13</f>
        <v>60</v>
      </c>
      <c r="Q262" s="203">
        <f>'Invoer en resultaat'!$H$9</f>
        <v>100</v>
      </c>
      <c r="R262" s="203">
        <f t="shared" si="221"/>
        <v>40</v>
      </c>
      <c r="S262" s="357">
        <f>$S$13</f>
        <v>1</v>
      </c>
      <c r="T262" s="354">
        <v>0.04</v>
      </c>
      <c r="U262" s="190"/>
      <c r="W262" s="140"/>
      <c r="X262" s="184"/>
      <c r="Y262" s="140" t="str">
        <f>$Y$13</f>
        <v>Damwand, kunststof vezelversterkt</v>
      </c>
    </row>
    <row r="263" spans="1:25" s="205" customFormat="1" ht="14.25" customHeight="1" x14ac:dyDescent="0.2">
      <c r="A263" s="196">
        <f>C263</f>
        <v>8</v>
      </c>
      <c r="B263" s="197" t="s">
        <v>179</v>
      </c>
      <c r="C263" s="210">
        <f t="shared" ref="C263" si="246">IF(B263=B262,C262,C262+1)</f>
        <v>8</v>
      </c>
      <c r="D263" s="199">
        <f t="shared" ref="D263" si="247">F263</f>
        <v>38</v>
      </c>
      <c r="E263" s="231" t="s">
        <v>220</v>
      </c>
      <c r="F263" s="213">
        <f t="shared" ref="F263" si="248">IF(E263=E262,F262,F262+1)</f>
        <v>38</v>
      </c>
      <c r="G263" s="201"/>
      <c r="H263" s="231" t="s">
        <v>658</v>
      </c>
      <c r="I263" s="321">
        <v>259</v>
      </c>
      <c r="J263" s="202" t="s">
        <v>49</v>
      </c>
      <c r="K263" s="292">
        <f>K$14</f>
        <v>-9.4626552786749585E-2</v>
      </c>
      <c r="L263" s="331">
        <f t="shared" ref="L263:Y263" si="249">L$14</f>
        <v>-0.12859332378676869</v>
      </c>
      <c r="M263" s="342">
        <f t="shared" si="249"/>
        <v>23.442067999999999</v>
      </c>
      <c r="N263" s="342">
        <f t="shared" si="249"/>
        <v>0.39070113333333334</v>
      </c>
      <c r="O263" s="342">
        <f t="shared" si="249"/>
        <v>0.39070113333333334</v>
      </c>
      <c r="P263" s="203">
        <f t="shared" si="249"/>
        <v>60</v>
      </c>
      <c r="Q263" s="203">
        <f t="shared" si="249"/>
        <v>100</v>
      </c>
      <c r="R263" s="488">
        <f t="shared" si="249"/>
        <v>40</v>
      </c>
      <c r="S263" s="354">
        <f t="shared" si="249"/>
        <v>1</v>
      </c>
      <c r="T263" s="354">
        <v>0.04</v>
      </c>
      <c r="U263" s="190"/>
      <c r="V263" s="140">
        <f t="shared" si="249"/>
        <v>0</v>
      </c>
      <c r="W263" s="184"/>
      <c r="X263" s="184"/>
      <c r="Y263" s="140" t="str">
        <f t="shared" si="249"/>
        <v>GVK, glasvezels in polyester, biobased hars</v>
      </c>
    </row>
    <row r="264" spans="1:25" s="205" customFormat="1" ht="14.25" customHeight="1" x14ac:dyDescent="0.2">
      <c r="A264" s="196">
        <f t="shared" si="233"/>
        <v>8</v>
      </c>
      <c r="B264" s="197" t="s">
        <v>179</v>
      </c>
      <c r="C264" s="210">
        <f>IF(B264=B262,C262,C262+1)</f>
        <v>8</v>
      </c>
      <c r="D264" s="199">
        <f t="shared" si="207"/>
        <v>38</v>
      </c>
      <c r="E264" s="231" t="s">
        <v>220</v>
      </c>
      <c r="F264" s="213">
        <f>IF(E264=E262,F262,F262+1)</f>
        <v>38</v>
      </c>
      <c r="G264" s="201"/>
      <c r="H264" s="231" t="s">
        <v>159</v>
      </c>
      <c r="I264" s="321">
        <v>260</v>
      </c>
      <c r="J264" s="202" t="s">
        <v>49</v>
      </c>
      <c r="K264" s="292">
        <f>$K$15</f>
        <v>0.22982313000735932</v>
      </c>
      <c r="L264" s="331">
        <f>L$15</f>
        <v>0.20592418355301723</v>
      </c>
      <c r="M264" s="342">
        <f>M$15</f>
        <v>20.617235294117645</v>
      </c>
      <c r="N264" s="342">
        <f t="shared" si="220"/>
        <v>0.27489647058823524</v>
      </c>
      <c r="O264" s="342">
        <f>O$15</f>
        <v>0.27489647058823524</v>
      </c>
      <c r="P264" s="203">
        <f>$P$15</f>
        <v>75</v>
      </c>
      <c r="Q264" s="203">
        <f>'Invoer en resultaat'!$H$9</f>
        <v>100</v>
      </c>
      <c r="R264" s="203">
        <f t="shared" si="221"/>
        <v>25</v>
      </c>
      <c r="S264" s="357">
        <f>$S$15</f>
        <v>1</v>
      </c>
      <c r="T264" s="354">
        <v>0.01</v>
      </c>
      <c r="U264" s="190">
        <v>0</v>
      </c>
      <c r="V264" s="140"/>
      <c r="W264" s="140" t="s">
        <v>653</v>
      </c>
      <c r="X264" s="140"/>
      <c r="Y264" s="140" t="str">
        <f>$Y$15</f>
        <v>Damwand Staal, constructiestaal</v>
      </c>
    </row>
    <row r="265" spans="1:25" s="205" customFormat="1" ht="14.25" customHeight="1" x14ac:dyDescent="0.2">
      <c r="A265" s="196">
        <f t="shared" si="233"/>
        <v>8</v>
      </c>
      <c r="B265" s="197" t="s">
        <v>179</v>
      </c>
      <c r="C265" s="210">
        <f t="shared" si="196"/>
        <v>8</v>
      </c>
      <c r="D265" s="199">
        <f t="shared" si="207"/>
        <v>38</v>
      </c>
      <c r="E265" s="231" t="s">
        <v>220</v>
      </c>
      <c r="F265" s="213">
        <f t="shared" si="245"/>
        <v>38</v>
      </c>
      <c r="G265" s="201"/>
      <c r="H265" s="231" t="s">
        <v>160</v>
      </c>
      <c r="I265" s="321">
        <v>261</v>
      </c>
      <c r="J265" s="202" t="s">
        <v>49</v>
      </c>
      <c r="K265" s="292">
        <f>$K$16</f>
        <v>0.22982313000735932</v>
      </c>
      <c r="L265" s="331">
        <f>L$16</f>
        <v>0.20592418355301723</v>
      </c>
      <c r="M265" s="342">
        <f>M$16</f>
        <v>20.617235294117645</v>
      </c>
      <c r="N265" s="342">
        <f t="shared" si="220"/>
        <v>0.27489647058823524</v>
      </c>
      <c r="O265" s="342">
        <f>O$16</f>
        <v>0.27489647058823524</v>
      </c>
      <c r="P265" s="203">
        <f>$P$16</f>
        <v>75</v>
      </c>
      <c r="Q265" s="203">
        <f>'Invoer en resultaat'!$H$9</f>
        <v>100</v>
      </c>
      <c r="R265" s="203">
        <f t="shared" si="221"/>
        <v>25</v>
      </c>
      <c r="S265" s="357">
        <f>$S$16</f>
        <v>1</v>
      </c>
      <c r="T265" s="354">
        <v>0.01</v>
      </c>
      <c r="U265" s="190">
        <v>0</v>
      </c>
      <c r="V265" s="140"/>
      <c r="W265" s="140" t="s">
        <v>653</v>
      </c>
      <c r="X265" s="140"/>
      <c r="Y265" s="140" t="str">
        <f>$Y$16</f>
        <v>Damwand Staal, constructiestaal</v>
      </c>
    </row>
    <row r="266" spans="1:25" s="205" customFormat="1" ht="14.25" customHeight="1" x14ac:dyDescent="0.2">
      <c r="A266" s="196">
        <f t="shared" si="233"/>
        <v>8</v>
      </c>
      <c r="B266" s="197" t="s">
        <v>179</v>
      </c>
      <c r="C266" s="210">
        <f t="shared" si="196"/>
        <v>8</v>
      </c>
      <c r="D266" s="199">
        <f t="shared" si="207"/>
        <v>38</v>
      </c>
      <c r="E266" s="231" t="s">
        <v>220</v>
      </c>
      <c r="F266" s="213">
        <f t="shared" si="245"/>
        <v>38</v>
      </c>
      <c r="G266" s="201"/>
      <c r="H266" s="231" t="s">
        <v>161</v>
      </c>
      <c r="I266" s="321">
        <v>262</v>
      </c>
      <c r="J266" s="202" t="s">
        <v>49</v>
      </c>
      <c r="K266" s="292">
        <f>$K$17</f>
        <v>-0.38631836598675329</v>
      </c>
      <c r="L266" s="331">
        <f>L$17</f>
        <v>-0.42933646960456895</v>
      </c>
      <c r="M266" s="342">
        <f>M$17</f>
        <v>24.740682352941171</v>
      </c>
      <c r="N266" s="342">
        <f t="shared" si="220"/>
        <v>0.49481364705882341</v>
      </c>
      <c r="O266" s="342">
        <f>O$17</f>
        <v>0.49481364705882341</v>
      </c>
      <c r="P266" s="203">
        <f>$P$17</f>
        <v>50</v>
      </c>
      <c r="Q266" s="203">
        <f>'Invoer en resultaat'!$H$9</f>
        <v>100</v>
      </c>
      <c r="R266" s="203">
        <f t="shared" si="221"/>
        <v>50</v>
      </c>
      <c r="S266" s="357">
        <f>$S$17</f>
        <v>1</v>
      </c>
      <c r="T266" s="354">
        <v>1.2E-2</v>
      </c>
      <c r="U266" s="190">
        <v>0</v>
      </c>
      <c r="V266" s="140"/>
      <c r="W266" s="140" t="s">
        <v>653</v>
      </c>
      <c r="X266" s="140"/>
      <c r="Y266" s="140" t="str">
        <f>$Y$17</f>
        <v>Damwand Staal, constructiestaal</v>
      </c>
    </row>
    <row r="267" spans="1:25" s="205" customFormat="1" ht="14.25" customHeight="1" x14ac:dyDescent="0.2">
      <c r="A267" s="196">
        <f t="shared" ref="A267" si="250">C267</f>
        <v>8</v>
      </c>
      <c r="B267" s="197" t="s">
        <v>179</v>
      </c>
      <c r="C267" s="210">
        <f t="shared" ref="C267" si="251">IF(B267=B266,C266,C266+1)</f>
        <v>8</v>
      </c>
      <c r="D267" s="199">
        <f t="shared" ref="D267" si="252">F267</f>
        <v>38</v>
      </c>
      <c r="E267" s="231" t="s">
        <v>220</v>
      </c>
      <c r="F267" s="213">
        <f t="shared" ref="F267" si="253">IF(E267=E266,F266,F266+1)</f>
        <v>38</v>
      </c>
      <c r="G267" s="201"/>
      <c r="H267" s="231" t="str">
        <f>$H$18</f>
        <v>beton, 30% granulaat</v>
      </c>
      <c r="I267" s="321">
        <v>263</v>
      </c>
      <c r="J267" s="202" t="str">
        <f>$J$18</f>
        <v>m2</v>
      </c>
      <c r="K267" s="292">
        <f>$K$17</f>
        <v>-0.38631836598675329</v>
      </c>
      <c r="L267" s="331">
        <f>L$18</f>
        <v>0.79213237805656589</v>
      </c>
      <c r="M267" s="342">
        <f>M$18</f>
        <v>5.3970358785288726</v>
      </c>
      <c r="N267" s="342">
        <f t="shared" si="220"/>
        <v>7.1960478380384968E-2</v>
      </c>
      <c r="O267" s="342">
        <f t="shared" ref="O267:Y267" si="254">O$18</f>
        <v>7.1960478380384968E-2</v>
      </c>
      <c r="P267" s="203">
        <f t="shared" si="254"/>
        <v>75</v>
      </c>
      <c r="Q267" s="203">
        <f t="shared" si="254"/>
        <v>100</v>
      </c>
      <c r="R267" s="203">
        <f t="shared" si="221"/>
        <v>25</v>
      </c>
      <c r="S267" s="357">
        <f t="shared" si="254"/>
        <v>1</v>
      </c>
      <c r="T267" s="354">
        <v>0.12</v>
      </c>
      <c r="U267" s="190"/>
      <c r="V267" s="140">
        <f t="shared" si="254"/>
        <v>0</v>
      </c>
      <c r="W267" s="140"/>
      <c r="X267" s="140"/>
      <c r="Y267" s="140" t="str">
        <f t="shared" si="254"/>
        <v>Damwand, Beton 30% granulaat</v>
      </c>
    </row>
    <row r="268" spans="1:25" s="220" customFormat="1" ht="14.25" customHeight="1" x14ac:dyDescent="0.2">
      <c r="A268" s="208">
        <f>C268</f>
        <v>8</v>
      </c>
      <c r="B268" s="209" t="s">
        <v>179</v>
      </c>
      <c r="C268" s="210">
        <f>IF(B268=B266,C266,C266+1)</f>
        <v>8</v>
      </c>
      <c r="D268" s="211">
        <f>F268</f>
        <v>38</v>
      </c>
      <c r="E268" s="232" t="s">
        <v>220</v>
      </c>
      <c r="F268" s="213">
        <f>IF(E268=E266,F266,F266+1)</f>
        <v>38</v>
      </c>
      <c r="G268" s="214"/>
      <c r="H268" s="232" t="s">
        <v>1</v>
      </c>
      <c r="I268" s="321">
        <v>264</v>
      </c>
      <c r="J268" s="215" t="s">
        <v>49</v>
      </c>
      <c r="K268" s="296">
        <f>$K$19</f>
        <v>0.79765126719986634</v>
      </c>
      <c r="L268" s="331">
        <f>L$19</f>
        <v>0.7913722919167725</v>
      </c>
      <c r="M268" s="345">
        <f>M$19</f>
        <v>5.4167706122448971</v>
      </c>
      <c r="N268" s="345">
        <f>IFERROR(IF(Q268&lt;P268,M268/Q268,M268/P268),"")</f>
        <v>7.2223608163265299E-2</v>
      </c>
      <c r="O268" s="345">
        <f>O$19</f>
        <v>7.2223608163265299E-2</v>
      </c>
      <c r="P268" s="216">
        <f>$P$19</f>
        <v>75</v>
      </c>
      <c r="Q268" s="203">
        <f>'Invoer en resultaat'!$H$9</f>
        <v>100</v>
      </c>
      <c r="R268" s="203">
        <f>Q268-P268</f>
        <v>25</v>
      </c>
      <c r="S268" s="358">
        <f>$S$19</f>
        <v>1</v>
      </c>
      <c r="T268" s="359">
        <v>0.12</v>
      </c>
      <c r="U268" s="217">
        <v>0</v>
      </c>
      <c r="V268" s="229">
        <f>$V$19</f>
        <v>0</v>
      </c>
      <c r="W268" s="229"/>
      <c r="X268" s="219"/>
      <c r="Y268" s="229" t="str">
        <f>Y140</f>
        <v>Houten lariks paal met betonopzetter</v>
      </c>
    </row>
    <row r="269" spans="1:25" s="510" customFormat="1" x14ac:dyDescent="0.2">
      <c r="A269" s="494">
        <f>C269</f>
        <v>8</v>
      </c>
      <c r="B269" s="495" t="str">
        <f>B268</f>
        <v>Duiker, Sifon, Leiding, Goot</v>
      </c>
      <c r="C269" s="496">
        <f>IF(B269=B268,C268,C268+1)</f>
        <v>8</v>
      </c>
      <c r="D269" s="497">
        <f>F269</f>
        <v>38</v>
      </c>
      <c r="E269" s="232" t="str">
        <f>E268</f>
        <v>Damwandplanken (in oever, op waterlijn)</v>
      </c>
      <c r="F269" s="213">
        <f>IF(E269=E268,F268,F268+1)</f>
        <v>38</v>
      </c>
      <c r="G269" s="214"/>
      <c r="H269" s="232" t="s">
        <v>669</v>
      </c>
      <c r="I269" s="321">
        <v>265</v>
      </c>
      <c r="J269" s="501" t="s">
        <v>49</v>
      </c>
      <c r="K269" s="502"/>
      <c r="L269" s="503"/>
      <c r="M269" s="504"/>
      <c r="N269" s="504"/>
      <c r="O269" s="504"/>
      <c r="P269" s="505">
        <v>50</v>
      </c>
      <c r="Q269" s="513">
        <f>'Invoer en resultaat'!$H$9</f>
        <v>100</v>
      </c>
      <c r="R269" s="513">
        <f>Q269-P269</f>
        <v>50</v>
      </c>
      <c r="S269" s="514">
        <f>IF(Q269&lt;P269,0,ROUNDDOWN(Q269/P269-0.01,0))</f>
        <v>1</v>
      </c>
      <c r="T269" s="506"/>
      <c r="U269" s="507"/>
      <c r="V269" s="508" t="s">
        <v>668</v>
      </c>
      <c r="W269" s="509"/>
      <c r="X269" s="509"/>
      <c r="Y269" s="509"/>
    </row>
    <row r="270" spans="1:25" s="205" customFormat="1" ht="14.25" customHeight="1" x14ac:dyDescent="0.2">
      <c r="A270" s="196">
        <f t="shared" si="233"/>
        <v>8</v>
      </c>
      <c r="B270" s="222" t="s">
        <v>179</v>
      </c>
      <c r="C270" s="210">
        <f>IF(B270=B268,C268,C268+1)</f>
        <v>8</v>
      </c>
      <c r="D270" s="199">
        <f t="shared" si="207"/>
        <v>39</v>
      </c>
      <c r="E270" s="205" t="s">
        <v>118</v>
      </c>
      <c r="F270" s="213">
        <f>IF(E270=E268,F268,F268+1)</f>
        <v>39</v>
      </c>
      <c r="G270" s="201"/>
      <c r="H270" s="205" t="s">
        <v>13</v>
      </c>
      <c r="I270" s="321">
        <v>266</v>
      </c>
      <c r="J270" s="202" t="s">
        <v>49</v>
      </c>
      <c r="K270" s="292">
        <f t="shared" ref="K270:K275" si="255">1-(N270/AVERAGE($N$270:$N$275))</f>
        <v>0.64834225945435764</v>
      </c>
      <c r="L270" s="331">
        <f t="shared" ref="L270:L275" si="256">IF(K270&gt;-1,1-(O270/AVERAGE($O$270:$O$275)),1-(O270/AVERAGE($N$270:$N$275)))</f>
        <v>0.40756077903171695</v>
      </c>
      <c r="M270" s="342">
        <f>T270/'MKI-waarden'!$N$29*'MKI-waarden'!$D$29</f>
        <v>3.2445916666666661</v>
      </c>
      <c r="N270" s="342">
        <f t="shared" si="220"/>
        <v>0.21630611111111106</v>
      </c>
      <c r="O270" s="342">
        <f t="shared" ref="O270:O275" si="257">IF(K270&lt;-1,(2*AVERAGE($N$270:$N$275)),N270)</f>
        <v>0.21630611111111106</v>
      </c>
      <c r="P270" s="203">
        <v>15</v>
      </c>
      <c r="Q270" s="203">
        <f>'Invoer en resultaat'!$H$9</f>
        <v>100</v>
      </c>
      <c r="R270" s="203">
        <f t="shared" si="221"/>
        <v>85</v>
      </c>
      <c r="S270" s="357">
        <f t="shared" ref="S270:S275" si="258">IF(Q270&lt;P270,0,ROUNDDOWN(Q270/P270-0.01,0))</f>
        <v>6</v>
      </c>
      <c r="T270" s="354">
        <v>0.05</v>
      </c>
      <c r="U270" s="190">
        <v>0</v>
      </c>
      <c r="V270" s="140"/>
      <c r="W270" s="140"/>
      <c r="X270" s="140"/>
      <c r="Y270" s="140" t="str">
        <f>'MKI-waarden'!$A$29</f>
        <v>Damwand, tropisch hardhout, damwandplanken</v>
      </c>
    </row>
    <row r="271" spans="1:25" s="205" customFormat="1" ht="14.25" customHeight="1" x14ac:dyDescent="0.2">
      <c r="A271" s="196">
        <f t="shared" si="233"/>
        <v>8</v>
      </c>
      <c r="B271" s="197" t="s">
        <v>179</v>
      </c>
      <c r="C271" s="210">
        <f t="shared" ref="C271:C347" si="259">IF(B271=B270,C270,C270+1)</f>
        <v>8</v>
      </c>
      <c r="D271" s="199">
        <f t="shared" si="207"/>
        <v>39</v>
      </c>
      <c r="E271" s="205" t="s">
        <v>118</v>
      </c>
      <c r="F271" s="213">
        <f t="shared" si="245"/>
        <v>39</v>
      </c>
      <c r="G271" s="201"/>
      <c r="H271" s="205" t="s">
        <v>106</v>
      </c>
      <c r="I271" s="321">
        <v>267</v>
      </c>
      <c r="J271" s="202" t="s">
        <v>49</v>
      </c>
      <c r="K271" s="292">
        <f t="shared" si="255"/>
        <v>0.79645233385514635</v>
      </c>
      <c r="L271" s="331">
        <f t="shared" si="256"/>
        <v>0.65708242175002629</v>
      </c>
      <c r="M271" s="342">
        <f>T271/'MKI-waarden'!$N$43*'MKI-waarden'!$D$43</f>
        <v>6.2601499999999994</v>
      </c>
      <c r="N271" s="342">
        <f t="shared" si="220"/>
        <v>0.12520299999999998</v>
      </c>
      <c r="O271" s="342">
        <f t="shared" si="257"/>
        <v>0.12520299999999998</v>
      </c>
      <c r="P271" s="203">
        <v>50</v>
      </c>
      <c r="Q271" s="203">
        <f>'Invoer en resultaat'!$H$9</f>
        <v>100</v>
      </c>
      <c r="R271" s="203">
        <f t="shared" si="221"/>
        <v>50</v>
      </c>
      <c r="S271" s="357">
        <f t="shared" si="258"/>
        <v>1</v>
      </c>
      <c r="T271" s="354">
        <v>0.01</v>
      </c>
      <c r="U271" s="190">
        <v>0</v>
      </c>
      <c r="W271" s="140"/>
      <c r="X271" s="184"/>
      <c r="Y271" s="140" t="str">
        <f>'MKI-waarden'!$A$43</f>
        <v>Damwand PE nieuw</v>
      </c>
    </row>
    <row r="272" spans="1:25" s="205" customFormat="1" ht="14.25" customHeight="1" x14ac:dyDescent="0.2">
      <c r="A272" s="196">
        <f t="shared" si="233"/>
        <v>8</v>
      </c>
      <c r="B272" s="197" t="s">
        <v>179</v>
      </c>
      <c r="C272" s="210">
        <f t="shared" si="259"/>
        <v>8</v>
      </c>
      <c r="D272" s="199">
        <f t="shared" si="207"/>
        <v>39</v>
      </c>
      <c r="E272" s="205" t="s">
        <v>118</v>
      </c>
      <c r="F272" s="213">
        <f t="shared" si="245"/>
        <v>39</v>
      </c>
      <c r="G272" s="201"/>
      <c r="H272" s="205" t="s">
        <v>660</v>
      </c>
      <c r="I272" s="321">
        <v>268</v>
      </c>
      <c r="J272" s="202" t="s">
        <v>49</v>
      </c>
      <c r="K272" s="292">
        <f t="shared" si="255"/>
        <v>0.91110357206426884</v>
      </c>
      <c r="L272" s="331">
        <f t="shared" si="256"/>
        <v>0.85023582750833238</v>
      </c>
      <c r="M272" s="342">
        <f>T272/'MKI-waarden'!$N$38*'MKI-waarden'!$D$38</f>
        <v>3.2808333333333333</v>
      </c>
      <c r="N272" s="342">
        <f t="shared" si="220"/>
        <v>5.4680555555555552E-2</v>
      </c>
      <c r="O272" s="342">
        <f t="shared" si="257"/>
        <v>5.4680555555555552E-2</v>
      </c>
      <c r="P272" s="203">
        <v>60</v>
      </c>
      <c r="Q272" s="203">
        <f>'Invoer en resultaat'!$H$9</f>
        <v>100</v>
      </c>
      <c r="R272" s="203">
        <f t="shared" si="221"/>
        <v>40</v>
      </c>
      <c r="S272" s="357">
        <f t="shared" si="258"/>
        <v>1</v>
      </c>
      <c r="T272" s="354">
        <v>5.0000000000000001E-3</v>
      </c>
      <c r="U272" s="190">
        <v>0</v>
      </c>
      <c r="W272" s="140"/>
      <c r="X272" s="184"/>
      <c r="Y272" s="140" t="str">
        <f>'MKI-waarden'!$A38</f>
        <v>Damwand, kunststof vezelversterkt</v>
      </c>
    </row>
    <row r="273" spans="1:25" s="205" customFormat="1" ht="14.25" customHeight="1" x14ac:dyDescent="0.2">
      <c r="A273" s="196">
        <f t="shared" ref="A273" si="260">C273</f>
        <v>8</v>
      </c>
      <c r="B273" s="197" t="s">
        <v>179</v>
      </c>
      <c r="C273" s="210">
        <f t="shared" ref="C273" si="261">IF(B273=B272,C272,C272+1)</f>
        <v>8</v>
      </c>
      <c r="D273" s="199">
        <f t="shared" ref="D273" si="262">F273</f>
        <v>39</v>
      </c>
      <c r="E273" s="205" t="s">
        <v>118</v>
      </c>
      <c r="F273" s="213">
        <f t="shared" ref="F273" si="263">IF(E273=E272,F272,F272+1)</f>
        <v>39</v>
      </c>
      <c r="G273" s="201"/>
      <c r="H273" s="205" t="s">
        <v>660</v>
      </c>
      <c r="I273" s="321">
        <v>269</v>
      </c>
      <c r="J273" s="202" t="s">
        <v>49</v>
      </c>
      <c r="K273" s="292">
        <f t="shared" si="255"/>
        <v>0.92060263746660498</v>
      </c>
      <c r="L273" s="331">
        <f t="shared" si="256"/>
        <v>0.86623894149682235</v>
      </c>
      <c r="M273" s="342">
        <f>T273/'MKI-waarden'!$N$126*'MKI-waarden'!$D$126</f>
        <v>2.9302584999999999</v>
      </c>
      <c r="N273" s="342">
        <f t="shared" si="220"/>
        <v>4.8837641666666667E-2</v>
      </c>
      <c r="O273" s="342">
        <f t="shared" si="257"/>
        <v>4.8837641666666667E-2</v>
      </c>
      <c r="P273" s="203">
        <v>60</v>
      </c>
      <c r="Q273" s="203">
        <f>'Invoer en resultaat'!$H$9</f>
        <v>100</v>
      </c>
      <c r="R273" s="203"/>
      <c r="S273" s="357">
        <f t="shared" si="258"/>
        <v>1</v>
      </c>
      <c r="T273" s="354">
        <v>5.0000000000000001E-3</v>
      </c>
      <c r="U273" s="190"/>
      <c r="W273" s="140"/>
      <c r="X273" s="184"/>
      <c r="Y273" s="140" t="str">
        <f>'MKI-waarden'!$A$128</f>
        <v>GVK, glasvezels in polyester, biobased hars</v>
      </c>
    </row>
    <row r="274" spans="1:25" s="205" customFormat="1" ht="14.25" customHeight="1" x14ac:dyDescent="0.2">
      <c r="A274" s="196">
        <f t="shared" si="233"/>
        <v>8</v>
      </c>
      <c r="B274" s="197" t="s">
        <v>179</v>
      </c>
      <c r="C274" s="210">
        <f>IF(B274=B272,C272,C272+1)</f>
        <v>8</v>
      </c>
      <c r="D274" s="199">
        <f t="shared" si="207"/>
        <v>39</v>
      </c>
      <c r="E274" s="205" t="s">
        <v>118</v>
      </c>
      <c r="F274" s="213">
        <f>IF(E274=E272,F272,F272+1)</f>
        <v>39</v>
      </c>
      <c r="G274" s="201"/>
      <c r="H274" s="205" t="s">
        <v>28</v>
      </c>
      <c r="I274" s="321">
        <v>270</v>
      </c>
      <c r="J274" s="202" t="s">
        <v>49</v>
      </c>
      <c r="K274" s="292">
        <f t="shared" si="255"/>
        <v>-3.438543620009904</v>
      </c>
      <c r="L274" s="331">
        <f t="shared" si="256"/>
        <v>-1</v>
      </c>
      <c r="M274" s="342">
        <f>T274/'MKI-waarden'!N102*'MKI-waarden'!D102</f>
        <v>163.8099775</v>
      </c>
      <c r="N274" s="342">
        <f t="shared" si="220"/>
        <v>2.7301662916666669</v>
      </c>
      <c r="O274" s="342">
        <f t="shared" si="257"/>
        <v>1.2302081607843138</v>
      </c>
      <c r="P274" s="203">
        <v>60</v>
      </c>
      <c r="Q274" s="203">
        <f>'Invoer en resultaat'!$H$9</f>
        <v>100</v>
      </c>
      <c r="R274" s="203">
        <f t="shared" si="221"/>
        <v>40</v>
      </c>
      <c r="S274" s="357">
        <f t="shared" si="258"/>
        <v>1</v>
      </c>
      <c r="T274" s="354">
        <v>5.0000000000000001E-3</v>
      </c>
      <c r="U274" s="190">
        <v>0</v>
      </c>
      <c r="V274" s="140"/>
      <c r="W274" s="140"/>
      <c r="X274" s="140"/>
      <c r="Y274" s="140" t="str">
        <f>'MKI-waarden'!$A102</f>
        <v>RVS plaat, 1x1, 4 mm dik</v>
      </c>
    </row>
    <row r="275" spans="1:25" s="220" customFormat="1" ht="14.25" customHeight="1" x14ac:dyDescent="0.2">
      <c r="A275" s="208">
        <f t="shared" si="233"/>
        <v>8</v>
      </c>
      <c r="B275" s="209" t="s">
        <v>179</v>
      </c>
      <c r="C275" s="210">
        <f t="shared" si="259"/>
        <v>8</v>
      </c>
      <c r="D275" s="211">
        <f t="shared" si="207"/>
        <v>39</v>
      </c>
      <c r="E275" s="220" t="s">
        <v>118</v>
      </c>
      <c r="F275" s="213">
        <f t="shared" si="245"/>
        <v>39</v>
      </c>
      <c r="G275" s="214"/>
      <c r="H275" s="220" t="s">
        <v>4</v>
      </c>
      <c r="I275" s="321">
        <v>271</v>
      </c>
      <c r="J275" s="215" t="s">
        <v>49</v>
      </c>
      <c r="K275" s="296">
        <f t="shared" si="255"/>
        <v>0.16204281716952618</v>
      </c>
      <c r="L275" s="331">
        <f t="shared" si="256"/>
        <v>-0.41170986263681941</v>
      </c>
      <c r="M275" s="345">
        <f>T275/'MKI-waarden'!$N$39*'MKI-waarden'!$D$39</f>
        <v>10.308617647058822</v>
      </c>
      <c r="N275" s="345">
        <f t="shared" si="220"/>
        <v>0.5154308823529411</v>
      </c>
      <c r="O275" s="345">
        <f t="shared" si="257"/>
        <v>0.5154308823529411</v>
      </c>
      <c r="P275" s="216">
        <v>20</v>
      </c>
      <c r="Q275" s="203">
        <f>'Invoer en resultaat'!$H$9</f>
        <v>100</v>
      </c>
      <c r="R275" s="203">
        <f t="shared" si="221"/>
        <v>80</v>
      </c>
      <c r="S275" s="358">
        <f t="shared" si="258"/>
        <v>4</v>
      </c>
      <c r="T275" s="359">
        <v>5.0000000000000001E-3</v>
      </c>
      <c r="U275" s="217">
        <v>0</v>
      </c>
      <c r="V275" s="229"/>
      <c r="W275" s="229"/>
      <c r="X275" s="229"/>
      <c r="Y275" s="229" t="str">
        <f>'MKI-waarden'!$A$39</f>
        <v>Damwand Staal, constructiestaal</v>
      </c>
    </row>
    <row r="276" spans="1:25" s="205" customFormat="1" ht="14.25" customHeight="1" x14ac:dyDescent="0.2">
      <c r="A276" s="196">
        <f t="shared" si="233"/>
        <v>9</v>
      </c>
      <c r="B276" s="197" t="s">
        <v>53</v>
      </c>
      <c r="C276" s="210">
        <f t="shared" si="259"/>
        <v>9</v>
      </c>
      <c r="D276" s="199">
        <f t="shared" si="207"/>
        <v>40</v>
      </c>
      <c r="E276" s="231" t="s">
        <v>62</v>
      </c>
      <c r="F276" s="213">
        <f t="shared" si="245"/>
        <v>40</v>
      </c>
      <c r="G276" s="201"/>
      <c r="H276" s="231" t="s">
        <v>90</v>
      </c>
      <c r="I276" s="321">
        <v>272</v>
      </c>
      <c r="J276" s="221" t="s">
        <v>50</v>
      </c>
      <c r="K276" s="292">
        <f>$K$55</f>
        <v>0.52190882455171894</v>
      </c>
      <c r="L276" s="331">
        <f>L$55</f>
        <v>0.26882353194751751</v>
      </c>
      <c r="M276" s="342">
        <f>M$55</f>
        <v>1.4737034161490683</v>
      </c>
      <c r="N276" s="342">
        <f t="shared" si="220"/>
        <v>2.9474068322981366E-2</v>
      </c>
      <c r="O276" s="342">
        <f>O$55</f>
        <v>2.9474068322981366E-2</v>
      </c>
      <c r="P276" s="203">
        <f>$P$55</f>
        <v>50</v>
      </c>
      <c r="Q276" s="203">
        <f>'Invoer en resultaat'!$H$9</f>
        <v>100</v>
      </c>
      <c r="R276" s="203">
        <f t="shared" si="221"/>
        <v>50</v>
      </c>
      <c r="S276" s="357">
        <f>$S$55</f>
        <v>1</v>
      </c>
      <c r="T276" s="354">
        <f>$T$55</f>
        <v>0</v>
      </c>
      <c r="U276" s="190">
        <f>$U$55</f>
        <v>0.15</v>
      </c>
      <c r="V276" s="140">
        <f>$V$55</f>
        <v>0</v>
      </c>
      <c r="W276" s="140">
        <f>$W$55</f>
        <v>0</v>
      </c>
      <c r="X276" s="140">
        <f>$X$55</f>
        <v>0</v>
      </c>
      <c r="Y276" s="140" t="str">
        <f>$Y$55</f>
        <v>Houten lariks paal met betonopzetter</v>
      </c>
    </row>
    <row r="277" spans="1:25" s="205" customFormat="1" ht="14.25" customHeight="1" x14ac:dyDescent="0.2">
      <c r="A277" s="196">
        <f t="shared" si="233"/>
        <v>9</v>
      </c>
      <c r="B277" s="197" t="s">
        <v>53</v>
      </c>
      <c r="C277" s="210">
        <f t="shared" si="259"/>
        <v>9</v>
      </c>
      <c r="D277" s="199">
        <f t="shared" si="207"/>
        <v>40</v>
      </c>
      <c r="E277" s="231" t="s">
        <v>62</v>
      </c>
      <c r="F277" s="213">
        <f t="shared" si="245"/>
        <v>40</v>
      </c>
      <c r="G277" s="201"/>
      <c r="H277" s="231" t="s">
        <v>4</v>
      </c>
      <c r="I277" s="321">
        <v>273</v>
      </c>
      <c r="J277" s="221" t="s">
        <v>50</v>
      </c>
      <c r="K277" s="292">
        <f>$K$56</f>
        <v>0.10571095814782272</v>
      </c>
      <c r="L277" s="331">
        <f>L$56</f>
        <v>-0.36769540334310014</v>
      </c>
      <c r="M277" s="342">
        <f>M$56</f>
        <v>5.5132446850393713</v>
      </c>
      <c r="N277" s="342">
        <f t="shared" si="220"/>
        <v>5.5132446850393715E-2</v>
      </c>
      <c r="O277" s="342">
        <f>O$56</f>
        <v>5.5132446850393715E-2</v>
      </c>
      <c r="P277" s="203">
        <f>$P$56</f>
        <v>100</v>
      </c>
      <c r="Q277" s="203">
        <f>'Invoer en resultaat'!$H$9</f>
        <v>100</v>
      </c>
      <c r="R277" s="203">
        <f t="shared" si="221"/>
        <v>0</v>
      </c>
      <c r="S277" s="357">
        <f>$S$56</f>
        <v>0</v>
      </c>
      <c r="T277" s="354">
        <f>$T$56</f>
        <v>0.01</v>
      </c>
      <c r="U277" s="190">
        <f>$U$56</f>
        <v>0.15</v>
      </c>
      <c r="V277" s="140">
        <f>$V$56</f>
        <v>0</v>
      </c>
      <c r="W277" s="140" t="str">
        <f>$W$56</f>
        <v>Holle buis met diameter: 150 mm</v>
      </c>
      <c r="X277" s="140">
        <f>$X$56</f>
        <v>0</v>
      </c>
      <c r="Y277" s="140" t="str">
        <f>$Y$56</f>
        <v>Buispaal, Staal</v>
      </c>
    </row>
    <row r="278" spans="1:25" s="205" customFormat="1" ht="14.25" customHeight="1" x14ac:dyDescent="0.2">
      <c r="A278" s="196">
        <f t="shared" si="233"/>
        <v>9</v>
      </c>
      <c r="B278" s="197" t="s">
        <v>53</v>
      </c>
      <c r="C278" s="210">
        <f t="shared" si="259"/>
        <v>9</v>
      </c>
      <c r="D278" s="199">
        <f t="shared" si="207"/>
        <v>40</v>
      </c>
      <c r="E278" s="231" t="s">
        <v>62</v>
      </c>
      <c r="F278" s="213">
        <f t="shared" si="245"/>
        <v>40</v>
      </c>
      <c r="G278" s="201"/>
      <c r="H278" s="231" t="s">
        <v>59</v>
      </c>
      <c r="I278" s="321">
        <v>274</v>
      </c>
      <c r="J278" s="221" t="s">
        <v>50</v>
      </c>
      <c r="K278" s="292">
        <f>$K$57</f>
        <v>-3.0768061090229342</v>
      </c>
      <c r="L278" s="331">
        <f>L$57</f>
        <v>-1</v>
      </c>
      <c r="M278" s="342">
        <f>M$57</f>
        <v>25.133294226613152</v>
      </c>
      <c r="N278" s="342">
        <f t="shared" si="220"/>
        <v>0.25133294226613151</v>
      </c>
      <c r="O278" s="342">
        <f>O$57</f>
        <v>0.12329894311621657</v>
      </c>
      <c r="P278" s="203">
        <f>$P$57</f>
        <v>100</v>
      </c>
      <c r="Q278" s="203">
        <f>'Invoer en resultaat'!$H$9</f>
        <v>100</v>
      </c>
      <c r="R278" s="203">
        <f t="shared" si="221"/>
        <v>0</v>
      </c>
      <c r="S278" s="357">
        <f>$S$57</f>
        <v>0</v>
      </c>
      <c r="T278" s="354">
        <f>$T$57</f>
        <v>0.01</v>
      </c>
      <c r="U278" s="190">
        <f>$U$57</f>
        <v>0.15</v>
      </c>
      <c r="V278" s="140">
        <f>$V$57</f>
        <v>0</v>
      </c>
      <c r="W278" s="140">
        <f>$W$57</f>
        <v>0</v>
      </c>
      <c r="X278" s="140">
        <f>$X$57</f>
        <v>0</v>
      </c>
      <c r="Y278" s="140" t="str">
        <f>$Y$57</f>
        <v>Funderingspaal met C20/25 0% betongranulaat Lafgarge Holcim Limburg</v>
      </c>
    </row>
    <row r="279" spans="1:25" s="205" customFormat="1" ht="14.25" customHeight="1" x14ac:dyDescent="0.2">
      <c r="A279" s="196">
        <f t="shared" ref="A279" si="264">C279</f>
        <v>9</v>
      </c>
      <c r="B279" s="197" t="s">
        <v>53</v>
      </c>
      <c r="C279" s="210">
        <f t="shared" si="259"/>
        <v>9</v>
      </c>
      <c r="D279" s="199">
        <f t="shared" ref="D279" si="265">F279</f>
        <v>40</v>
      </c>
      <c r="E279" s="231" t="s">
        <v>62</v>
      </c>
      <c r="F279" s="213">
        <f t="shared" si="245"/>
        <v>40</v>
      </c>
      <c r="G279" s="201"/>
      <c r="H279" s="231" t="s">
        <v>357</v>
      </c>
      <c r="I279" s="321">
        <v>275</v>
      </c>
      <c r="J279" s="221" t="s">
        <v>50</v>
      </c>
      <c r="K279" s="292">
        <f>1-(N279/AVERAGE($N$55:$N$60))</f>
        <v>0.78398881121688002</v>
      </c>
      <c r="L279" s="331">
        <f>IF(K279&gt;-1,1-(O279/AVERAGE($O$55:$O$60)),1-(O279/AVERAGE($N$55:$N$60)))</f>
        <v>0.66963979637113058</v>
      </c>
      <c r="M279" s="342">
        <f>M$58</f>
        <v>1.3316975639118114</v>
      </c>
      <c r="N279" s="342">
        <f t="shared" si="220"/>
        <v>1.3316975639118114E-2</v>
      </c>
      <c r="O279" s="342">
        <f t="shared" ref="O279:U279" si="266">O$58</f>
        <v>1.3316975639118114E-2</v>
      </c>
      <c r="P279" s="203">
        <f t="shared" si="266"/>
        <v>100</v>
      </c>
      <c r="Q279" s="203">
        <f>'Invoer en resultaat'!$H$9</f>
        <v>100</v>
      </c>
      <c r="R279" s="203">
        <f t="shared" si="221"/>
        <v>0</v>
      </c>
      <c r="S279" s="357">
        <f t="shared" si="266"/>
        <v>0</v>
      </c>
      <c r="T279" s="354">
        <f t="shared" si="266"/>
        <v>0</v>
      </c>
      <c r="U279" s="190">
        <f t="shared" si="266"/>
        <v>0.2</v>
      </c>
      <c r="V279" s="140"/>
      <c r="W279" s="140" t="str">
        <f>$W$58</f>
        <v>dikte is diameter</v>
      </c>
      <c r="X279" s="140">
        <f>$X$58</f>
        <v>0</v>
      </c>
      <c r="Y279" s="140" t="str">
        <f>$Y$58</f>
        <v>Betonmortel C20/25 CEM I 30% granulaat – in situ voor GWW</v>
      </c>
    </row>
    <row r="280" spans="1:25" s="205" customFormat="1" ht="14.25" customHeight="1" x14ac:dyDescent="0.2">
      <c r="A280" s="196">
        <f t="shared" si="233"/>
        <v>9</v>
      </c>
      <c r="B280" s="197" t="s">
        <v>53</v>
      </c>
      <c r="C280" s="210">
        <f t="shared" si="259"/>
        <v>9</v>
      </c>
      <c r="D280" s="199">
        <f t="shared" si="207"/>
        <v>40</v>
      </c>
      <c r="E280" s="231" t="s">
        <v>62</v>
      </c>
      <c r="F280" s="213">
        <f t="shared" si="245"/>
        <v>40</v>
      </c>
      <c r="G280" s="201"/>
      <c r="H280" s="231" t="s">
        <v>274</v>
      </c>
      <c r="I280" s="321">
        <v>276</v>
      </c>
      <c r="J280" s="221" t="s">
        <v>50</v>
      </c>
      <c r="K280" s="292">
        <f>$K$59</f>
        <v>0.87947110543834461</v>
      </c>
      <c r="L280" s="331">
        <f>L$59</f>
        <v>0.81566718661722137</v>
      </c>
      <c r="M280" s="342">
        <f>M$59</f>
        <v>0.74305426572090061</v>
      </c>
      <c r="N280" s="342">
        <f t="shared" si="220"/>
        <v>7.430542657209006E-3</v>
      </c>
      <c r="O280" s="342">
        <f>O$59</f>
        <v>7.430542657209006E-3</v>
      </c>
      <c r="P280" s="203">
        <f>$P$59</f>
        <v>100</v>
      </c>
      <c r="Q280" s="203">
        <f>'Invoer en resultaat'!$H$9</f>
        <v>100</v>
      </c>
      <c r="R280" s="203">
        <f t="shared" si="221"/>
        <v>0</v>
      </c>
      <c r="S280" s="357">
        <f>$S$59</f>
        <v>0</v>
      </c>
      <c r="T280" s="354">
        <f>$T$59</f>
        <v>0</v>
      </c>
      <c r="U280" s="190">
        <f>$U$59</f>
        <v>0.15</v>
      </c>
      <c r="V280" s="140">
        <f>$V$59</f>
        <v>0</v>
      </c>
      <c r="W280" s="140" t="str">
        <f>$W$59</f>
        <v>dikte is diameter</v>
      </c>
      <c r="X280" s="140">
        <f>$X$59</f>
        <v>0</v>
      </c>
      <c r="Y280" s="140" t="str">
        <f>$Y$59</f>
        <v>Betonmortel C20/25 (CEM I)</v>
      </c>
    </row>
    <row r="281" spans="1:25" s="220" customFormat="1" ht="14.25" customHeight="1" x14ac:dyDescent="0.2">
      <c r="A281" s="208">
        <f t="shared" si="233"/>
        <v>9</v>
      </c>
      <c r="B281" s="209" t="s">
        <v>53</v>
      </c>
      <c r="C281" s="210">
        <f t="shared" si="259"/>
        <v>9</v>
      </c>
      <c r="D281" s="211">
        <f t="shared" si="207"/>
        <v>40</v>
      </c>
      <c r="E281" s="232" t="s">
        <v>62</v>
      </c>
      <c r="F281" s="213">
        <f t="shared" si="245"/>
        <v>40</v>
      </c>
      <c r="G281" s="214"/>
      <c r="H281" s="232" t="s">
        <v>92</v>
      </c>
      <c r="I281" s="321">
        <v>277</v>
      </c>
      <c r="J281" s="228" t="s">
        <v>50</v>
      </c>
      <c r="K281" s="296">
        <f>$K$60</f>
        <v>0.7857264096681682</v>
      </c>
      <c r="L281" s="331">
        <f>L$60</f>
        <v>0.67229722065283815</v>
      </c>
      <c r="M281" s="345">
        <f>M$60</f>
        <v>1.3209853612816012</v>
      </c>
      <c r="N281" s="345">
        <f t="shared" si="220"/>
        <v>1.3209853612816012E-2</v>
      </c>
      <c r="O281" s="345">
        <f>O$60</f>
        <v>1.3209853612816012E-2</v>
      </c>
      <c r="P281" s="216">
        <f>$P$60</f>
        <v>100</v>
      </c>
      <c r="Q281" s="203">
        <f>'Invoer en resultaat'!$H$9</f>
        <v>100</v>
      </c>
      <c r="R281" s="203">
        <f t="shared" si="221"/>
        <v>0</v>
      </c>
      <c r="S281" s="358">
        <f>$S$60</f>
        <v>0</v>
      </c>
      <c r="T281" s="359">
        <f>$T$60</f>
        <v>0</v>
      </c>
      <c r="U281" s="217">
        <f>$U$60</f>
        <v>0.2</v>
      </c>
      <c r="V281" s="229">
        <f>$V$60</f>
        <v>0</v>
      </c>
      <c r="W281" s="140" t="str">
        <f>$W$60</f>
        <v>dikte is diameter</v>
      </c>
      <c r="X281" s="140">
        <f>$X$60</f>
        <v>0</v>
      </c>
      <c r="Y281" s="140" t="str">
        <f>$Y$60</f>
        <v>Betonmortel C20/25 (CEM I)</v>
      </c>
    </row>
    <row r="282" spans="1:25" s="205" customFormat="1" ht="14.25" customHeight="1" x14ac:dyDescent="0.2">
      <c r="A282" s="196">
        <f t="shared" si="233"/>
        <v>9</v>
      </c>
      <c r="B282" s="197" t="s">
        <v>53</v>
      </c>
      <c r="C282" s="210">
        <f t="shared" si="259"/>
        <v>9</v>
      </c>
      <c r="D282" s="199">
        <f t="shared" si="207"/>
        <v>41</v>
      </c>
      <c r="E282" s="231" t="s">
        <v>74</v>
      </c>
      <c r="F282" s="213">
        <f t="shared" si="245"/>
        <v>41</v>
      </c>
      <c r="G282" s="201"/>
      <c r="H282" s="231" t="s">
        <v>12</v>
      </c>
      <c r="I282" s="321">
        <v>278</v>
      </c>
      <c r="J282" s="202" t="s">
        <v>49</v>
      </c>
      <c r="K282" s="292">
        <f t="shared" ref="K282:M286" si="267">K196</f>
        <v>-0.14061004777387387</v>
      </c>
      <c r="L282" s="331">
        <f t="shared" si="267"/>
        <v>-0.14061004777387387</v>
      </c>
      <c r="M282" s="342">
        <f t="shared" si="267"/>
        <v>2.003916666666667</v>
      </c>
      <c r="N282" s="342">
        <f t="shared" si="220"/>
        <v>0.20039166666666669</v>
      </c>
      <c r="O282" s="342">
        <f t="shared" ref="O282:P286" si="268">O196</f>
        <v>0.20039166666666669</v>
      </c>
      <c r="P282" s="203">
        <f t="shared" si="268"/>
        <v>10</v>
      </c>
      <c r="Q282" s="203">
        <f>'Invoer en resultaat'!$H$9</f>
        <v>100</v>
      </c>
      <c r="R282" s="203">
        <f t="shared" si="221"/>
        <v>90</v>
      </c>
      <c r="S282" s="357">
        <f t="shared" ref="S282:T286" si="269">S196</f>
        <v>9</v>
      </c>
      <c r="T282" s="354">
        <f t="shared" si="269"/>
        <v>0.1</v>
      </c>
      <c r="U282" s="190">
        <v>0</v>
      </c>
      <c r="V282" s="174"/>
      <c r="W282" s="140" t="str">
        <f>W196</f>
        <v>dikte gebruikt voor referentieberekening is geen reguliere plankdikte, maar wel verkrijgbaar</v>
      </c>
      <c r="X282" s="140"/>
      <c r="Y282" s="140" t="str">
        <f>Y196</f>
        <v>Damwanden, Europees naaldhout, damwandplanken</v>
      </c>
    </row>
    <row r="283" spans="1:25" s="205" customFormat="1" ht="14.25" customHeight="1" x14ac:dyDescent="0.2">
      <c r="A283" s="196">
        <f t="shared" si="233"/>
        <v>9</v>
      </c>
      <c r="B283" s="197" t="s">
        <v>53</v>
      </c>
      <c r="C283" s="210">
        <f t="shared" si="259"/>
        <v>9</v>
      </c>
      <c r="D283" s="199">
        <f t="shared" si="207"/>
        <v>41</v>
      </c>
      <c r="E283" s="231" t="s">
        <v>74</v>
      </c>
      <c r="F283" s="213">
        <f t="shared" si="245"/>
        <v>41</v>
      </c>
      <c r="G283" s="201"/>
      <c r="H283" s="231" t="s">
        <v>13</v>
      </c>
      <c r="I283" s="321">
        <v>279</v>
      </c>
      <c r="J283" s="202" t="s">
        <v>49</v>
      </c>
      <c r="K283" s="292">
        <f t="shared" si="267"/>
        <v>-0.84679029696346952</v>
      </c>
      <c r="L283" s="331">
        <f t="shared" si="267"/>
        <v>-0.84679029696346952</v>
      </c>
      <c r="M283" s="342">
        <f t="shared" si="267"/>
        <v>6.4891833333333322</v>
      </c>
      <c r="N283" s="342">
        <f t="shared" si="220"/>
        <v>0.32445916666666663</v>
      </c>
      <c r="O283" s="342">
        <f t="shared" si="268"/>
        <v>0.32445916666666663</v>
      </c>
      <c r="P283" s="203">
        <f t="shared" si="268"/>
        <v>20</v>
      </c>
      <c r="Q283" s="203">
        <f>'Invoer en resultaat'!$H$9</f>
        <v>100</v>
      </c>
      <c r="R283" s="203">
        <f t="shared" si="221"/>
        <v>80</v>
      </c>
      <c r="S283" s="357">
        <f t="shared" si="269"/>
        <v>4</v>
      </c>
      <c r="T283" s="354">
        <f t="shared" si="269"/>
        <v>0.1</v>
      </c>
      <c r="U283" s="190">
        <v>0</v>
      </c>
      <c r="V283" s="174"/>
      <c r="W283" s="140" t="str">
        <f>W197</f>
        <v>dikte gebruikt voor referentieberekening is geen reguliere plankdikte, maar wel verkrijgbaar</v>
      </c>
      <c r="X283" s="140"/>
      <c r="Y283" s="140" t="str">
        <f>Y197</f>
        <v>Damwand, tropisch hardhout, damwandplanken</v>
      </c>
    </row>
    <row r="284" spans="1:25" s="205" customFormat="1" ht="14.25" customHeight="1" x14ac:dyDescent="0.2">
      <c r="A284" s="196">
        <f t="shared" si="233"/>
        <v>9</v>
      </c>
      <c r="B284" s="197" t="s">
        <v>53</v>
      </c>
      <c r="C284" s="210">
        <f t="shared" si="259"/>
        <v>9</v>
      </c>
      <c r="D284" s="199">
        <f t="shared" si="207"/>
        <v>41</v>
      </c>
      <c r="E284" s="231" t="s">
        <v>74</v>
      </c>
      <c r="F284" s="213">
        <f t="shared" si="245"/>
        <v>41</v>
      </c>
      <c r="G284" s="201"/>
      <c r="H284" s="231" t="s">
        <v>66</v>
      </c>
      <c r="I284" s="321">
        <v>280</v>
      </c>
      <c r="J284" s="202" t="s">
        <v>49</v>
      </c>
      <c r="K284" s="292">
        <f t="shared" si="267"/>
        <v>0.87324847163790986</v>
      </c>
      <c r="L284" s="331">
        <f t="shared" si="267"/>
        <v>0.87324847163790986</v>
      </c>
      <c r="M284" s="342">
        <f t="shared" si="267"/>
        <v>1.7814992999999992</v>
      </c>
      <c r="N284" s="342">
        <f t="shared" si="220"/>
        <v>2.2268741249999991E-2</v>
      </c>
      <c r="O284" s="342">
        <f t="shared" si="268"/>
        <v>2.2268741249999991E-2</v>
      </c>
      <c r="P284" s="203">
        <f t="shared" si="268"/>
        <v>80</v>
      </c>
      <c r="Q284" s="203">
        <f>'Invoer en resultaat'!$H$9</f>
        <v>100</v>
      </c>
      <c r="R284" s="203">
        <f t="shared" si="221"/>
        <v>20</v>
      </c>
      <c r="S284" s="357">
        <f t="shared" si="269"/>
        <v>1</v>
      </c>
      <c r="T284" s="354">
        <f t="shared" si="269"/>
        <v>0.21</v>
      </c>
      <c r="U284" s="190">
        <v>0</v>
      </c>
      <c r="V284" s="140"/>
      <c r="W284" s="140">
        <f>W198</f>
        <v>0</v>
      </c>
      <c r="X284" s="140"/>
      <c r="Y284" s="140" t="str">
        <f>Y198</f>
        <v>Spouwmuren binnenlad, baksteenmetselwerk</v>
      </c>
    </row>
    <row r="285" spans="1:25" s="205" customFormat="1" ht="14.25" customHeight="1" x14ac:dyDescent="0.2">
      <c r="A285" s="196">
        <f t="shared" si="233"/>
        <v>9</v>
      </c>
      <c r="B285" s="197" t="s">
        <v>53</v>
      </c>
      <c r="C285" s="210">
        <f t="shared" si="259"/>
        <v>9</v>
      </c>
      <c r="D285" s="199">
        <f t="shared" si="207"/>
        <v>41</v>
      </c>
      <c r="E285" s="231" t="s">
        <v>74</v>
      </c>
      <c r="F285" s="213">
        <f t="shared" si="245"/>
        <v>41</v>
      </c>
      <c r="G285" s="201"/>
      <c r="H285" s="231" t="s">
        <v>4</v>
      </c>
      <c r="I285" s="321">
        <v>281</v>
      </c>
      <c r="J285" s="202" t="s">
        <v>49</v>
      </c>
      <c r="K285" s="292">
        <f t="shared" si="267"/>
        <v>-0.5646842090099371</v>
      </c>
      <c r="L285" s="331">
        <f t="shared" si="267"/>
        <v>-0.5646842090099371</v>
      </c>
      <c r="M285" s="342">
        <f t="shared" si="267"/>
        <v>20.617235294117645</v>
      </c>
      <c r="N285" s="342">
        <f t="shared" si="220"/>
        <v>0.27489647058823524</v>
      </c>
      <c r="O285" s="342">
        <f t="shared" si="268"/>
        <v>0.27489647058823524</v>
      </c>
      <c r="P285" s="203">
        <f t="shared" si="268"/>
        <v>75</v>
      </c>
      <c r="Q285" s="203">
        <f>'Invoer en resultaat'!$H$9</f>
        <v>100</v>
      </c>
      <c r="R285" s="203">
        <f t="shared" si="221"/>
        <v>25</v>
      </c>
      <c r="S285" s="357">
        <f t="shared" si="269"/>
        <v>1</v>
      </c>
      <c r="T285" s="354">
        <f t="shared" si="269"/>
        <v>0.01</v>
      </c>
      <c r="U285" s="190">
        <v>0</v>
      </c>
      <c r="V285" s="140"/>
      <c r="W285" s="140">
        <f>W199</f>
        <v>0</v>
      </c>
      <c r="X285" s="140"/>
      <c r="Y285" s="140" t="str">
        <f>Y199</f>
        <v>Damwand Staal</v>
      </c>
    </row>
    <row r="286" spans="1:25" s="220" customFormat="1" ht="14.25" customHeight="1" x14ac:dyDescent="0.2">
      <c r="A286" s="208">
        <f>C286</f>
        <v>9</v>
      </c>
      <c r="B286" s="209" t="s">
        <v>53</v>
      </c>
      <c r="C286" s="210">
        <f>IF(B286=B285,C285,C285+1)</f>
        <v>9</v>
      </c>
      <c r="D286" s="211">
        <f>F286</f>
        <v>41</v>
      </c>
      <c r="E286" s="232" t="s">
        <v>74</v>
      </c>
      <c r="F286" s="213">
        <f>IF(E286=E285,F285,F285+1)</f>
        <v>41</v>
      </c>
      <c r="G286" s="214"/>
      <c r="H286" s="232" t="s">
        <v>1</v>
      </c>
      <c r="I286" s="321">
        <v>282</v>
      </c>
      <c r="J286" s="215" t="s">
        <v>49</v>
      </c>
      <c r="K286" s="296">
        <f t="shared" si="267"/>
        <v>0.67883608210937085</v>
      </c>
      <c r="L286" s="331">
        <f t="shared" si="267"/>
        <v>0.67883608210937085</v>
      </c>
      <c r="M286" s="345">
        <f t="shared" si="267"/>
        <v>4.5139755102040811</v>
      </c>
      <c r="N286" s="345">
        <f>IFERROR(IF(Q286&lt;P286,M286/Q286,M286/P286),"")</f>
        <v>5.6424693877551016E-2</v>
      </c>
      <c r="O286" s="345">
        <f t="shared" si="268"/>
        <v>5.6424693877551016E-2</v>
      </c>
      <c r="P286" s="216">
        <f t="shared" si="268"/>
        <v>80</v>
      </c>
      <c r="Q286" s="203">
        <f>'Invoer en resultaat'!$H$9</f>
        <v>100</v>
      </c>
      <c r="R286" s="203">
        <f>Q286-P286</f>
        <v>20</v>
      </c>
      <c r="S286" s="358">
        <f t="shared" si="269"/>
        <v>1</v>
      </c>
      <c r="T286" s="359">
        <f t="shared" si="269"/>
        <v>0.1</v>
      </c>
      <c r="U286" s="217">
        <v>0</v>
      </c>
      <c r="V286" s="229"/>
      <c r="W286" s="229">
        <f>W200</f>
        <v>0</v>
      </c>
      <c r="X286" s="229"/>
      <c r="Y286" s="229" t="str">
        <f>Y200</f>
        <v>Damwand, Beton</v>
      </c>
    </row>
    <row r="287" spans="1:25" s="510" customFormat="1" x14ac:dyDescent="0.2">
      <c r="A287" s="494">
        <f>C287</f>
        <v>9</v>
      </c>
      <c r="B287" s="209" t="str">
        <f>B286</f>
        <v>Sluis</v>
      </c>
      <c r="C287" s="496">
        <f>IF(B287=B286,C286,C286+1)</f>
        <v>9</v>
      </c>
      <c r="D287" s="497">
        <f>F287</f>
        <v>41</v>
      </c>
      <c r="E287" s="232" t="str">
        <f>E286</f>
        <v>muur/wand</v>
      </c>
      <c r="F287" s="213">
        <f>IF(E287=E286,F286,F286+1)</f>
        <v>41</v>
      </c>
      <c r="G287" s="214"/>
      <c r="H287" s="232" t="s">
        <v>669</v>
      </c>
      <c r="I287" s="321">
        <v>283</v>
      </c>
      <c r="J287" s="501" t="s">
        <v>49</v>
      </c>
      <c r="K287" s="502"/>
      <c r="L287" s="503"/>
      <c r="M287" s="504"/>
      <c r="N287" s="504"/>
      <c r="O287" s="504"/>
      <c r="P287" s="505">
        <v>50</v>
      </c>
      <c r="Q287" s="513">
        <f>'Invoer en resultaat'!$H$9</f>
        <v>100</v>
      </c>
      <c r="R287" s="513">
        <f>Q287-P287</f>
        <v>50</v>
      </c>
      <c r="S287" s="514">
        <f>IF(Q287&lt;P287,0,ROUNDDOWN(Q287/P287-0.01,0))</f>
        <v>1</v>
      </c>
      <c r="T287" s="506"/>
      <c r="U287" s="507"/>
      <c r="V287" s="508" t="s">
        <v>668</v>
      </c>
      <c r="W287" s="509"/>
      <c r="X287" s="509"/>
      <c r="Y287" s="509"/>
    </row>
    <row r="288" spans="1:25" s="205" customFormat="1" ht="14.25" customHeight="1" x14ac:dyDescent="0.2">
      <c r="A288" s="196">
        <f t="shared" si="233"/>
        <v>9</v>
      </c>
      <c r="B288" s="197" t="s">
        <v>53</v>
      </c>
      <c r="C288" s="210">
        <f>IF(B288=B286,C286,C286+1)</f>
        <v>9</v>
      </c>
      <c r="D288" s="199">
        <f t="shared" si="207"/>
        <v>42</v>
      </c>
      <c r="E288" s="175" t="s">
        <v>80</v>
      </c>
      <c r="F288" s="213">
        <f>IF(E288=E286,F286,F286+1)</f>
        <v>42</v>
      </c>
      <c r="G288" s="201"/>
      <c r="H288" s="205" t="s">
        <v>13</v>
      </c>
      <c r="I288" s="321">
        <v>284</v>
      </c>
      <c r="J288" s="202" t="s">
        <v>49</v>
      </c>
      <c r="K288" s="292">
        <f>1-(N288/AVERAGE($N$288:$N$292))</f>
        <v>-0.52783996428722935</v>
      </c>
      <c r="L288" s="331">
        <f>IF(K288&gt;-1,1-(O288/AVERAGE($O$288:$O$292)),1-(O288/AVERAGE($N$288:$N$292)))</f>
        <v>-0.52783996428722935</v>
      </c>
      <c r="M288" s="342">
        <f>T288/'MKI-waarden'!$N$29*'MKI-waarden'!$D$29</f>
        <v>5.1913466666666661</v>
      </c>
      <c r="N288" s="342">
        <f t="shared" si="220"/>
        <v>0.25956733333333332</v>
      </c>
      <c r="O288" s="342">
        <f>IF(K288&lt;-1,(2*AVERAGE($N$288:$N$292)),N288)</f>
        <v>0.25956733333333332</v>
      </c>
      <c r="P288" s="203">
        <v>20</v>
      </c>
      <c r="Q288" s="203">
        <f>'Invoer en resultaat'!$H$9</f>
        <v>100</v>
      </c>
      <c r="R288" s="203">
        <f t="shared" si="221"/>
        <v>80</v>
      </c>
      <c r="S288" s="357">
        <f>IF(Q288&lt;P288,0,ROUNDDOWN(Q288/P288-0.01,0))</f>
        <v>4</v>
      </c>
      <c r="T288" s="354">
        <v>0.08</v>
      </c>
      <c r="U288" s="190">
        <v>0</v>
      </c>
      <c r="V288" s="140"/>
      <c r="W288" s="140"/>
      <c r="X288" s="140"/>
      <c r="Y288" s="140" t="str">
        <f>'MKI-waarden'!$A$29</f>
        <v>Damwand, tropisch hardhout, damwandplanken</v>
      </c>
    </row>
    <row r="289" spans="1:25" s="205" customFormat="1" ht="14.25" customHeight="1" x14ac:dyDescent="0.2">
      <c r="A289" s="196">
        <f t="shared" si="233"/>
        <v>9</v>
      </c>
      <c r="B289" s="197" t="s">
        <v>53</v>
      </c>
      <c r="C289" s="210">
        <f t="shared" si="259"/>
        <v>9</v>
      </c>
      <c r="D289" s="199">
        <f t="shared" si="207"/>
        <v>42</v>
      </c>
      <c r="E289" s="175" t="s">
        <v>80</v>
      </c>
      <c r="F289" s="213">
        <f t="shared" si="245"/>
        <v>42</v>
      </c>
      <c r="G289" s="201"/>
      <c r="H289" s="205" t="s">
        <v>660</v>
      </c>
      <c r="I289" s="321">
        <v>285</v>
      </c>
      <c r="J289" s="202" t="s">
        <v>49</v>
      </c>
      <c r="K289" s="292">
        <f>1-(N289/AVERAGE($N$288:$N$292))</f>
        <v>0.48503142071474303</v>
      </c>
      <c r="L289" s="331">
        <f>IF(K289&gt;-1,1-(O289/AVERAGE($O$288:$O$292)),1-(O289/AVERAGE($N$288:$N$292)))</f>
        <v>0.48503142071474303</v>
      </c>
      <c r="M289" s="342">
        <f>T289/'MKI-waarden'!$N$38*'MKI-waarden'!$D$38</f>
        <v>6.5616666666666665</v>
      </c>
      <c r="N289" s="342">
        <f>IFERROR(IF(Q290&lt;P289,M289/Q290,M289/P289),"")</f>
        <v>8.7488888888888894E-2</v>
      </c>
      <c r="O289" s="342">
        <f>IF(K289&lt;-1,(2*AVERAGE($N$288:$N$292)),N289)</f>
        <v>8.7488888888888894E-2</v>
      </c>
      <c r="P289" s="203">
        <v>75</v>
      </c>
      <c r="Q289" s="203">
        <f>'Invoer en resultaat'!$H$9</f>
        <v>100</v>
      </c>
      <c r="R289" s="203">
        <f>Q290-P289</f>
        <v>25</v>
      </c>
      <c r="S289" s="357">
        <f>IF(Q290&lt;P289,0,ROUNDDOWN(Q290/P289-0.01,0))</f>
        <v>1</v>
      </c>
      <c r="T289" s="354">
        <v>0.01</v>
      </c>
      <c r="U289" s="190">
        <v>0</v>
      </c>
      <c r="W289" s="140"/>
      <c r="X289" s="184"/>
      <c r="Y289" s="140" t="str">
        <f>'MKI-waarden'!$A$43</f>
        <v>Damwand PE nieuw</v>
      </c>
    </row>
    <row r="290" spans="1:25" s="205" customFormat="1" ht="14.25" customHeight="1" x14ac:dyDescent="0.2">
      <c r="A290" s="196">
        <f t="shared" ref="A290" si="270">C290</f>
        <v>9</v>
      </c>
      <c r="B290" s="197" t="s">
        <v>53</v>
      </c>
      <c r="C290" s="210">
        <f t="shared" ref="C290" si="271">IF(B290=B289,C289,C289+1)</f>
        <v>9</v>
      </c>
      <c r="D290" s="199">
        <f t="shared" ref="D290" si="272">F290</f>
        <v>42</v>
      </c>
      <c r="E290" s="175" t="s">
        <v>80</v>
      </c>
      <c r="F290" s="213">
        <f t="shared" si="245"/>
        <v>42</v>
      </c>
      <c r="G290" s="201"/>
      <c r="H290" s="205" t="s">
        <v>658</v>
      </c>
      <c r="I290" s="321">
        <v>286</v>
      </c>
      <c r="J290" s="202" t="s">
        <v>49</v>
      </c>
      <c r="K290" s="292">
        <f>1-(N290/AVERAGE($N$288:$N$292))</f>
        <v>0.54005860604006661</v>
      </c>
      <c r="L290" s="331">
        <f>IF(K290&gt;-1,1-(O290/AVERAGE($O$288:$O$292)),1-(O290/AVERAGE($N$288:$N$292)))</f>
        <v>0.54005860604006661</v>
      </c>
      <c r="M290" s="342">
        <f>T290/'MKI-waarden'!$N$126*'MKI-waarden'!$D$126</f>
        <v>5.8605169999999998</v>
      </c>
      <c r="N290" s="342">
        <f>IFERROR(IF(Q291&lt;P290,M290/Q291,M290/P290),"")</f>
        <v>7.814022666666666E-2</v>
      </c>
      <c r="O290" s="342">
        <f>IF(K290&lt;-1,(2*AVERAGE($N$288:$N$292)),N290)</f>
        <v>7.814022666666666E-2</v>
      </c>
      <c r="P290" s="203">
        <v>75</v>
      </c>
      <c r="Q290" s="203">
        <f>'Invoer en resultaat'!$H$9</f>
        <v>100</v>
      </c>
      <c r="R290" s="203"/>
      <c r="S290" s="357">
        <f>IF(Q291&lt;P290,0,ROUNDDOWN(Q291/P290-0.01,0))</f>
        <v>1</v>
      </c>
      <c r="T290" s="354">
        <v>0.01</v>
      </c>
      <c r="U290" s="190"/>
      <c r="W290" s="140"/>
      <c r="X290" s="184"/>
      <c r="Y290" s="140" t="str">
        <f>'MKI-waarden'!$A$128</f>
        <v>GVK, glasvezels in polyester, biobased hars</v>
      </c>
    </row>
    <row r="291" spans="1:25" s="205" customFormat="1" ht="14.25" customHeight="1" x14ac:dyDescent="0.2">
      <c r="A291" s="196">
        <f t="shared" si="233"/>
        <v>9</v>
      </c>
      <c r="B291" s="197" t="s">
        <v>53</v>
      </c>
      <c r="C291" s="210">
        <f>IF(B291=B289,C289,C289+1)</f>
        <v>9</v>
      </c>
      <c r="D291" s="199">
        <f t="shared" si="207"/>
        <v>42</v>
      </c>
      <c r="E291" s="175" t="s">
        <v>80</v>
      </c>
      <c r="F291" s="213">
        <f>IF(E291=E289,F289,F289+1)</f>
        <v>42</v>
      </c>
      <c r="G291" s="201"/>
      <c r="H291" s="205" t="s">
        <v>4</v>
      </c>
      <c r="I291" s="321">
        <v>287</v>
      </c>
      <c r="J291" s="202" t="s">
        <v>49</v>
      </c>
      <c r="K291" s="292">
        <f>1-(N291/AVERAGE($N$288:$N$292))</f>
        <v>-0.61806883945160584</v>
      </c>
      <c r="L291" s="331">
        <f>IF(K291&gt;-1,1-(O291/AVERAGE($O$288:$O$292)),1-(O291/AVERAGE($N$288:$N$292)))</f>
        <v>-0.61806883945160584</v>
      </c>
      <c r="M291" s="345">
        <f>T291/'MKI-waarden'!$N$39*'MKI-waarden'!$D$39</f>
        <v>20.617235294117645</v>
      </c>
      <c r="N291" s="342">
        <f t="shared" si="220"/>
        <v>0.27489647058823524</v>
      </c>
      <c r="O291" s="342">
        <f>IF(K291&lt;-1,(2*AVERAGE($N$288:$N$292)),N291)</f>
        <v>0.27489647058823524</v>
      </c>
      <c r="P291" s="203">
        <v>75</v>
      </c>
      <c r="Q291" s="203">
        <f>'Invoer en resultaat'!$H$9</f>
        <v>100</v>
      </c>
      <c r="R291" s="203">
        <f t="shared" si="221"/>
        <v>25</v>
      </c>
      <c r="S291" s="357">
        <f>IF(Q291&lt;P291,0,ROUNDDOWN(Q291/P291-0.01,0))</f>
        <v>1</v>
      </c>
      <c r="T291" s="354">
        <v>0.01</v>
      </c>
      <c r="U291" s="190">
        <v>0</v>
      </c>
      <c r="V291" s="140"/>
      <c r="W291" s="140"/>
      <c r="X291" s="140"/>
      <c r="Y291" s="140" t="str">
        <f>'MKI-waarden'!$A$39</f>
        <v>Damwand Staal, constructiestaal</v>
      </c>
    </row>
    <row r="292" spans="1:25" s="220" customFormat="1" ht="14.25" customHeight="1" x14ac:dyDescent="0.2">
      <c r="A292" s="208">
        <f>C292</f>
        <v>9</v>
      </c>
      <c r="B292" s="209" t="s">
        <v>53</v>
      </c>
      <c r="C292" s="210">
        <f>IF(B292=B291,C291,C291+1)</f>
        <v>9</v>
      </c>
      <c r="D292" s="211">
        <f>F292</f>
        <v>42</v>
      </c>
      <c r="E292" s="212" t="s">
        <v>80</v>
      </c>
      <c r="F292" s="213">
        <f>IF(E292=E291,F291,F291+1)</f>
        <v>42</v>
      </c>
      <c r="G292" s="214"/>
      <c r="H292" s="220" t="s">
        <v>6</v>
      </c>
      <c r="I292" s="321">
        <v>288</v>
      </c>
      <c r="J292" s="215" t="s">
        <v>49</v>
      </c>
      <c r="K292" s="296">
        <f>1-(N292/AVERAGE($N$288:$N$292))</f>
        <v>0.12081877698402543</v>
      </c>
      <c r="L292" s="331">
        <f>IF(K292&gt;-1,1-(O292/AVERAGE($O$288:$O$292)),1-(O292/AVERAGE($N$288:$N$292)))</f>
        <v>0.12081877698402543</v>
      </c>
      <c r="M292" s="345">
        <f>T292*'MKI-waarden'!D5</f>
        <v>11.202419636999998</v>
      </c>
      <c r="N292" s="345">
        <f>IFERROR(IF(Q292&lt;P292,M292/Q292,M292/P292),"")</f>
        <v>0.14936559515999998</v>
      </c>
      <c r="O292" s="345">
        <f>IF(K292&lt;-1,(2*AVERAGE($N$288:$N$292)),N292)</f>
        <v>0.14936559515999998</v>
      </c>
      <c r="P292" s="216">
        <v>75</v>
      </c>
      <c r="Q292" s="203">
        <f>'Invoer en resultaat'!$H$9</f>
        <v>100</v>
      </c>
      <c r="R292" s="203">
        <f>Q292-P292</f>
        <v>25</v>
      </c>
      <c r="S292" s="358">
        <f>IF(Q292&lt;P292,0,ROUNDDOWN(Q292/P292-0.01,0))</f>
        <v>1</v>
      </c>
      <c r="T292" s="359">
        <v>0.01</v>
      </c>
      <c r="U292" s="217">
        <v>0</v>
      </c>
      <c r="V292" s="229"/>
      <c r="W292" s="229"/>
      <c r="X292" s="229"/>
      <c r="Y292" s="229" t="str">
        <f>'MKI-waarden'!$A$4</f>
        <v>Kolommen, aluminium, per kg constructiegewicht.</v>
      </c>
    </row>
    <row r="293" spans="1:25" s="510" customFormat="1" x14ac:dyDescent="0.2">
      <c r="A293" s="494">
        <f>C293</f>
        <v>9</v>
      </c>
      <c r="B293" s="209" t="str">
        <f>B292</f>
        <v>Sluis</v>
      </c>
      <c r="C293" s="496">
        <f>IF(B293=B292,C292,C292+1)</f>
        <v>9</v>
      </c>
      <c r="D293" s="497">
        <f>F293</f>
        <v>42</v>
      </c>
      <c r="E293" s="498" t="str">
        <f>E292</f>
        <v>sluisdeur</v>
      </c>
      <c r="F293" s="499">
        <f>IF(E293=E292,F292,F292+1)</f>
        <v>42</v>
      </c>
      <c r="G293" s="500"/>
      <c r="H293" s="500" t="s">
        <v>669</v>
      </c>
      <c r="I293" s="321">
        <v>289</v>
      </c>
      <c r="J293" s="501" t="s">
        <v>49</v>
      </c>
      <c r="K293" s="502"/>
      <c r="L293" s="503"/>
      <c r="M293" s="504"/>
      <c r="N293" s="504"/>
      <c r="O293" s="504"/>
      <c r="P293" s="505">
        <v>50</v>
      </c>
      <c r="Q293" s="513">
        <f>'Invoer en resultaat'!$H$9</f>
        <v>100</v>
      </c>
      <c r="R293" s="513">
        <f>Q293-P293</f>
        <v>50</v>
      </c>
      <c r="S293" s="514">
        <f>IF(Q293&lt;P293,0,ROUNDDOWN(Q293/P293-0.01,0))</f>
        <v>1</v>
      </c>
      <c r="T293" s="506"/>
      <c r="U293" s="507"/>
      <c r="V293" s="508" t="s">
        <v>668</v>
      </c>
      <c r="W293" s="509"/>
      <c r="X293" s="509"/>
      <c r="Y293" s="509"/>
    </row>
    <row r="294" spans="1:25" s="205" customFormat="1" ht="14.25" customHeight="1" x14ac:dyDescent="0.2">
      <c r="A294" s="196">
        <f t="shared" si="233"/>
        <v>9</v>
      </c>
      <c r="B294" s="197" t="s">
        <v>53</v>
      </c>
      <c r="C294" s="210">
        <f>IF(B294=B292,C292,C292+1)</f>
        <v>9</v>
      </c>
      <c r="D294" s="199">
        <f t="shared" si="207"/>
        <v>43</v>
      </c>
      <c r="E294" s="231" t="s">
        <v>79</v>
      </c>
      <c r="F294" s="213">
        <f>IF(E294=E292,F292,F292+1)</f>
        <v>43</v>
      </c>
      <c r="G294" s="201"/>
      <c r="H294" s="231" t="s">
        <v>133</v>
      </c>
      <c r="I294" s="321">
        <v>290</v>
      </c>
      <c r="J294" s="221" t="s">
        <v>50</v>
      </c>
      <c r="K294" s="336">
        <f>$K$96</f>
        <v>-0.83225471280787522</v>
      </c>
      <c r="L294" s="331">
        <v>-1</v>
      </c>
      <c r="M294" s="345">
        <f>M96</f>
        <v>0.87902413793103451</v>
      </c>
      <c r="N294" s="345">
        <f t="shared" si="220"/>
        <v>7.325201149425288E-2</v>
      </c>
      <c r="O294" s="345">
        <f t="shared" ref="O294:P297" si="273">O96</f>
        <v>7.325201149425288E-2</v>
      </c>
      <c r="P294" s="216">
        <f t="shared" si="273"/>
        <v>12</v>
      </c>
      <c r="Q294" s="203">
        <f>'Invoer en resultaat'!$H$9</f>
        <v>100</v>
      </c>
      <c r="R294" s="203">
        <f t="shared" si="221"/>
        <v>88</v>
      </c>
      <c r="S294" s="357">
        <f t="shared" ref="S294:U297" si="274">S96</f>
        <v>8</v>
      </c>
      <c r="T294" s="354">
        <f t="shared" si="274"/>
        <v>5.0000000000000001E-3</v>
      </c>
      <c r="U294" s="190">
        <f t="shared" si="274"/>
        <v>0.1</v>
      </c>
      <c r="V294" s="140" t="s">
        <v>614</v>
      </c>
      <c r="W294" s="140" t="s">
        <v>270</v>
      </c>
      <c r="X294" s="184"/>
      <c r="Y294" s="140" t="str">
        <f>'MKI-waarden'!$A$54</f>
        <v>Waterleiding bamboe, 100mm</v>
      </c>
    </row>
    <row r="295" spans="1:25" s="205" customFormat="1" ht="14.25" customHeight="1" x14ac:dyDescent="0.2">
      <c r="A295" s="196">
        <f t="shared" si="233"/>
        <v>9</v>
      </c>
      <c r="B295" s="197" t="s">
        <v>53</v>
      </c>
      <c r="C295" s="210">
        <f t="shared" si="259"/>
        <v>9</v>
      </c>
      <c r="D295" s="199">
        <f t="shared" si="207"/>
        <v>43</v>
      </c>
      <c r="E295" s="231" t="s">
        <v>79</v>
      </c>
      <c r="F295" s="213">
        <f t="shared" si="245"/>
        <v>43</v>
      </c>
      <c r="G295" s="201"/>
      <c r="H295" s="231" t="s">
        <v>5</v>
      </c>
      <c r="I295" s="321">
        <v>291</v>
      </c>
      <c r="J295" s="221" t="s">
        <v>50</v>
      </c>
      <c r="K295" s="292">
        <f t="shared" ref="K295:L297" si="275">K97</f>
        <v>0.80999527449102071</v>
      </c>
      <c r="L295" s="331">
        <f t="shared" si="275"/>
        <v>0.76149994472833482</v>
      </c>
      <c r="M295" s="342">
        <f>M97</f>
        <v>0.26586805228984217</v>
      </c>
      <c r="N295" s="342">
        <f t="shared" si="220"/>
        <v>7.5962300654240618E-3</v>
      </c>
      <c r="O295" s="342">
        <f t="shared" si="273"/>
        <v>7.5962300654240618E-3</v>
      </c>
      <c r="P295" s="203">
        <f t="shared" si="273"/>
        <v>35</v>
      </c>
      <c r="Q295" s="203">
        <f>'Invoer en resultaat'!$H$9</f>
        <v>100</v>
      </c>
      <c r="R295" s="203">
        <f t="shared" si="221"/>
        <v>65</v>
      </c>
      <c r="S295" s="357">
        <f t="shared" si="274"/>
        <v>2</v>
      </c>
      <c r="T295" s="354">
        <f t="shared" si="274"/>
        <v>3.0000000000000001E-3</v>
      </c>
      <c r="U295" s="190">
        <f t="shared" si="274"/>
        <v>0.1</v>
      </c>
      <c r="V295" s="140"/>
      <c r="W295" s="140" t="s">
        <v>270</v>
      </c>
      <c r="X295" s="227"/>
      <c r="Y295" s="140" t="str">
        <f>'MKI-waarden'!$A$100</f>
        <v>Reflectorpalen PVC</v>
      </c>
    </row>
    <row r="296" spans="1:25" s="205" customFormat="1" ht="14.25" customHeight="1" x14ac:dyDescent="0.2">
      <c r="A296" s="196">
        <f t="shared" si="233"/>
        <v>9</v>
      </c>
      <c r="B296" s="197" t="s">
        <v>53</v>
      </c>
      <c r="C296" s="210">
        <f t="shared" si="259"/>
        <v>9</v>
      </c>
      <c r="D296" s="199">
        <f t="shared" ref="D296:D379" si="276">F296</f>
        <v>43</v>
      </c>
      <c r="E296" s="231" t="s">
        <v>79</v>
      </c>
      <c r="F296" s="213">
        <f t="shared" si="245"/>
        <v>43</v>
      </c>
      <c r="G296" s="201"/>
      <c r="H296" s="231" t="s">
        <v>135</v>
      </c>
      <c r="I296" s="321">
        <v>292</v>
      </c>
      <c r="J296" s="221" t="s">
        <v>50</v>
      </c>
      <c r="K296" s="292">
        <f t="shared" si="275"/>
        <v>0.79111637177161953</v>
      </c>
      <c r="L296" s="331">
        <f t="shared" si="275"/>
        <v>0.73780253757183334</v>
      </c>
      <c r="M296" s="342">
        <f>M98</f>
        <v>0.62632446088096139</v>
      </c>
      <c r="N296" s="342">
        <f t="shared" si="220"/>
        <v>8.350992811746151E-3</v>
      </c>
      <c r="O296" s="342">
        <f t="shared" si="273"/>
        <v>8.350992811746151E-3</v>
      </c>
      <c r="P296" s="203">
        <f t="shared" si="273"/>
        <v>75</v>
      </c>
      <c r="Q296" s="203">
        <f>'Invoer en resultaat'!$H$9</f>
        <v>100</v>
      </c>
      <c r="R296" s="203">
        <f t="shared" si="221"/>
        <v>25</v>
      </c>
      <c r="S296" s="357">
        <f t="shared" si="274"/>
        <v>1</v>
      </c>
      <c r="T296" s="354">
        <f t="shared" si="274"/>
        <v>0.01</v>
      </c>
      <c r="U296" s="190">
        <f t="shared" si="274"/>
        <v>0.1</v>
      </c>
      <c r="W296" s="140" t="s">
        <v>270</v>
      </c>
      <c r="X296" s="184"/>
      <c r="Y296" s="140" t="str">
        <f>'MKI-waarden'!$A$101</f>
        <v>Reflectorpalen PE</v>
      </c>
    </row>
    <row r="297" spans="1:25" s="205" customFormat="1" ht="14.25" customHeight="1" x14ac:dyDescent="0.2">
      <c r="A297" s="196">
        <f t="shared" si="233"/>
        <v>9</v>
      </c>
      <c r="B297" s="197" t="s">
        <v>53</v>
      </c>
      <c r="C297" s="210">
        <f t="shared" si="259"/>
        <v>9</v>
      </c>
      <c r="D297" s="199">
        <f t="shared" si="276"/>
        <v>43</v>
      </c>
      <c r="E297" s="231" t="s">
        <v>79</v>
      </c>
      <c r="F297" s="213">
        <f t="shared" si="245"/>
        <v>43</v>
      </c>
      <c r="G297" s="201"/>
      <c r="H297" s="231" t="s">
        <v>660</v>
      </c>
      <c r="I297" s="321">
        <v>293</v>
      </c>
      <c r="J297" s="221" t="s">
        <v>50</v>
      </c>
      <c r="K297" s="292">
        <f t="shared" si="275"/>
        <v>0.83840634303338424</v>
      </c>
      <c r="L297" s="331">
        <f t="shared" si="275"/>
        <v>0.83840634303338424</v>
      </c>
      <c r="M297" s="342">
        <f>M99</f>
        <v>0.48452844744127932</v>
      </c>
      <c r="N297" s="342">
        <f t="shared" si="220"/>
        <v>6.4603792992170578E-3</v>
      </c>
      <c r="O297" s="342">
        <f t="shared" si="273"/>
        <v>6.4603792992170578E-3</v>
      </c>
      <c r="P297" s="203">
        <f t="shared" si="273"/>
        <v>75</v>
      </c>
      <c r="Q297" s="203">
        <f>'Invoer en resultaat'!$H$9</f>
        <v>100</v>
      </c>
      <c r="R297" s="203">
        <f t="shared" si="221"/>
        <v>25</v>
      </c>
      <c r="S297" s="357">
        <f t="shared" si="274"/>
        <v>1</v>
      </c>
      <c r="T297" s="354">
        <f t="shared" si="274"/>
        <v>5.0000000000000001E-3</v>
      </c>
      <c r="U297" s="190">
        <f t="shared" si="274"/>
        <v>0.1</v>
      </c>
      <c r="W297" s="140" t="s">
        <v>270</v>
      </c>
      <c r="X297" s="184"/>
      <c r="Y297" s="140" t="s">
        <v>662</v>
      </c>
    </row>
    <row r="298" spans="1:25" s="205" customFormat="1" ht="14.25" customHeight="1" x14ac:dyDescent="0.2">
      <c r="A298" s="196">
        <f t="shared" ref="A298" si="277">C298</f>
        <v>9</v>
      </c>
      <c r="B298" s="197" t="s">
        <v>53</v>
      </c>
      <c r="C298" s="210">
        <f t="shared" ref="C298" si="278">IF(B298=B297,C297,C297+1)</f>
        <v>9</v>
      </c>
      <c r="D298" s="199">
        <f t="shared" ref="D298" si="279">F298</f>
        <v>43</v>
      </c>
      <c r="E298" s="231" t="s">
        <v>79</v>
      </c>
      <c r="F298" s="213">
        <f t="shared" ref="F298" si="280">IF(E298=E297,F297,F297+1)</f>
        <v>43</v>
      </c>
      <c r="G298" s="201"/>
      <c r="H298" s="231" t="s">
        <v>658</v>
      </c>
      <c r="I298" s="321">
        <v>294</v>
      </c>
      <c r="J298" s="221" t="s">
        <v>50</v>
      </c>
      <c r="K298" s="292">
        <f>K$100</f>
        <v>0.8625461919888211</v>
      </c>
      <c r="L298" s="331">
        <f t="shared" ref="L298:U298" si="281">L$100</f>
        <v>0.8625461919888211</v>
      </c>
      <c r="M298" s="342">
        <f t="shared" si="281"/>
        <v>0.41214662407391028</v>
      </c>
      <c r="N298" s="342">
        <f t="shared" si="281"/>
        <v>5.4952883209854701E-3</v>
      </c>
      <c r="O298" s="342">
        <f t="shared" si="281"/>
        <v>5.4952883209854701E-3</v>
      </c>
      <c r="P298" s="203">
        <f t="shared" si="281"/>
        <v>75</v>
      </c>
      <c r="Q298" s="203">
        <f t="shared" si="281"/>
        <v>100</v>
      </c>
      <c r="R298" s="204">
        <f t="shared" si="281"/>
        <v>25</v>
      </c>
      <c r="S298" s="357">
        <f t="shared" si="281"/>
        <v>1</v>
      </c>
      <c r="T298" s="354">
        <f t="shared" si="281"/>
        <v>5.0000000000000001E-3</v>
      </c>
      <c r="U298" s="190">
        <f t="shared" si="281"/>
        <v>0.1</v>
      </c>
      <c r="W298" s="140" t="s">
        <v>270</v>
      </c>
      <c r="X298" s="184"/>
      <c r="Y298" s="140" t="str">
        <f>'MKI-waarden'!$A$128</f>
        <v>GVK, glasvezels in polyester, biobased hars</v>
      </c>
    </row>
    <row r="299" spans="1:25" s="205" customFormat="1" ht="14.25" customHeight="1" x14ac:dyDescent="0.2">
      <c r="A299" s="196">
        <f t="shared" si="233"/>
        <v>9</v>
      </c>
      <c r="B299" s="197" t="s">
        <v>53</v>
      </c>
      <c r="C299" s="210">
        <f>IF(B299=B297,C297,C297+1)</f>
        <v>9</v>
      </c>
      <c r="D299" s="199">
        <f t="shared" si="276"/>
        <v>43</v>
      </c>
      <c r="E299" s="231" t="s">
        <v>79</v>
      </c>
      <c r="F299" s="213">
        <f>IF(E299=E297,F297,F297+1)</f>
        <v>43</v>
      </c>
      <c r="G299" s="201"/>
      <c r="H299" s="231" t="s">
        <v>77</v>
      </c>
      <c r="I299" s="321">
        <v>295</v>
      </c>
      <c r="J299" s="221" t="s">
        <v>50</v>
      </c>
      <c r="K299" s="292">
        <f t="shared" ref="K299:M303" si="282">K101</f>
        <v>0.37810939583626191</v>
      </c>
      <c r="L299" s="331">
        <f t="shared" si="282"/>
        <v>0.21938287024881709</v>
      </c>
      <c r="M299" s="342">
        <f t="shared" si="282"/>
        <v>2.4862666400000002</v>
      </c>
      <c r="N299" s="342">
        <f t="shared" si="220"/>
        <v>2.48626664E-2</v>
      </c>
      <c r="O299" s="342">
        <f t="shared" ref="O299:P303" si="283">O101</f>
        <v>2.48626664E-2</v>
      </c>
      <c r="P299" s="203">
        <f t="shared" si="283"/>
        <v>100</v>
      </c>
      <c r="Q299" s="203">
        <f>'Invoer en resultaat'!$H$9</f>
        <v>100</v>
      </c>
      <c r="R299" s="203">
        <f t="shared" si="221"/>
        <v>0</v>
      </c>
      <c r="S299" s="357">
        <f t="shared" ref="S299:U303" si="284">S101</f>
        <v>0</v>
      </c>
      <c r="T299" s="354">
        <f t="shared" si="284"/>
        <v>0.02</v>
      </c>
      <c r="U299" s="190">
        <f t="shared" si="284"/>
        <v>0.1</v>
      </c>
      <c r="V299" s="140"/>
      <c r="W299" s="140" t="s">
        <v>270</v>
      </c>
      <c r="X299" s="140"/>
      <c r="Y299" s="140" t="str">
        <f>'MKI-waarden'!$A$73</f>
        <v>Keramiek leidingen, gresbuis klein</v>
      </c>
    </row>
    <row r="300" spans="1:25" s="205" customFormat="1" ht="14.25" customHeight="1" x14ac:dyDescent="0.2">
      <c r="A300" s="196">
        <f t="shared" si="233"/>
        <v>9</v>
      </c>
      <c r="B300" s="197" t="s">
        <v>53</v>
      </c>
      <c r="C300" s="210">
        <f t="shared" si="259"/>
        <v>9</v>
      </c>
      <c r="D300" s="199">
        <f t="shared" si="276"/>
        <v>43</v>
      </c>
      <c r="E300" s="231" t="s">
        <v>79</v>
      </c>
      <c r="F300" s="213">
        <f t="shared" si="245"/>
        <v>43</v>
      </c>
      <c r="G300" s="201"/>
      <c r="H300" s="231" t="s">
        <v>32</v>
      </c>
      <c r="I300" s="321">
        <v>296</v>
      </c>
      <c r="J300" s="221" t="s">
        <v>50</v>
      </c>
      <c r="K300" s="292">
        <f t="shared" si="282"/>
        <v>-0.61674153877704763</v>
      </c>
      <c r="L300" s="331">
        <f t="shared" si="282"/>
        <v>-0.61674153877704763</v>
      </c>
      <c r="M300" s="342">
        <f t="shared" si="282"/>
        <v>6.4635974984200004</v>
      </c>
      <c r="N300" s="342">
        <f t="shared" si="220"/>
        <v>6.4635974984199998E-2</v>
      </c>
      <c r="O300" s="342">
        <f t="shared" si="283"/>
        <v>6.4635974984199998E-2</v>
      </c>
      <c r="P300" s="203">
        <f t="shared" si="283"/>
        <v>100</v>
      </c>
      <c r="Q300" s="203">
        <f>'Invoer en resultaat'!$H$9</f>
        <v>100</v>
      </c>
      <c r="R300" s="203">
        <f t="shared" si="221"/>
        <v>0</v>
      </c>
      <c r="S300" s="357">
        <f t="shared" si="284"/>
        <v>0</v>
      </c>
      <c r="T300" s="354">
        <f t="shared" si="284"/>
        <v>0.01</v>
      </c>
      <c r="U300" s="190">
        <f t="shared" si="284"/>
        <v>0.1</v>
      </c>
      <c r="V300" s="140"/>
      <c r="W300" s="140" t="s">
        <v>270</v>
      </c>
      <c r="X300" s="140" t="s">
        <v>267</v>
      </c>
      <c r="Y300" s="140" t="str">
        <f>'MKI-waarden'!$A$63</f>
        <v>Gietijzer (obv gasleiding)</v>
      </c>
    </row>
    <row r="301" spans="1:25" s="205" customFormat="1" ht="14.25" customHeight="1" x14ac:dyDescent="0.2">
      <c r="A301" s="196">
        <f t="shared" si="233"/>
        <v>9</v>
      </c>
      <c r="B301" s="197" t="s">
        <v>53</v>
      </c>
      <c r="C301" s="210">
        <f t="shared" si="259"/>
        <v>9</v>
      </c>
      <c r="D301" s="199">
        <f t="shared" si="276"/>
        <v>43</v>
      </c>
      <c r="E301" s="231" t="s">
        <v>79</v>
      </c>
      <c r="F301" s="213">
        <f t="shared" si="245"/>
        <v>43</v>
      </c>
      <c r="G301" s="201"/>
      <c r="H301" s="231" t="s">
        <v>4</v>
      </c>
      <c r="I301" s="321">
        <v>297</v>
      </c>
      <c r="J301" s="221" t="s">
        <v>50</v>
      </c>
      <c r="K301" s="292">
        <f t="shared" si="282"/>
        <v>-8.7691151560397529E-2</v>
      </c>
      <c r="L301" s="331">
        <f t="shared" si="282"/>
        <v>-0.36530498949825585</v>
      </c>
      <c r="M301" s="342">
        <f t="shared" si="282"/>
        <v>1.7393993134109393</v>
      </c>
      <c r="N301" s="342">
        <f t="shared" si="220"/>
        <v>4.3484982835273481E-2</v>
      </c>
      <c r="O301" s="342">
        <f t="shared" si="283"/>
        <v>4.3484982835273481E-2</v>
      </c>
      <c r="P301" s="203">
        <f t="shared" si="283"/>
        <v>40</v>
      </c>
      <c r="Q301" s="203">
        <f>'Invoer en resultaat'!$H$9</f>
        <v>100</v>
      </c>
      <c r="R301" s="203">
        <f t="shared" si="221"/>
        <v>60</v>
      </c>
      <c r="S301" s="357">
        <f t="shared" si="284"/>
        <v>2</v>
      </c>
      <c r="T301" s="354">
        <f t="shared" si="284"/>
        <v>5.0000000000000001E-3</v>
      </c>
      <c r="U301" s="190">
        <f t="shared" si="284"/>
        <v>0.1</v>
      </c>
      <c r="V301" s="140"/>
      <c r="W301" s="140" t="s">
        <v>270</v>
      </c>
      <c r="X301" s="227"/>
      <c r="Y301" s="140" t="str">
        <f>'MKI-waarden'!$A$27</f>
        <v>Constructies in kg of m3, wapeningstaal</v>
      </c>
    </row>
    <row r="302" spans="1:25" s="205" customFormat="1" ht="14.25" customHeight="1" x14ac:dyDescent="0.2">
      <c r="A302" s="196">
        <f t="shared" si="233"/>
        <v>9</v>
      </c>
      <c r="B302" s="197" t="s">
        <v>53</v>
      </c>
      <c r="C302" s="210">
        <f t="shared" si="259"/>
        <v>9</v>
      </c>
      <c r="D302" s="199">
        <f t="shared" si="276"/>
        <v>43</v>
      </c>
      <c r="E302" s="231" t="s">
        <v>79</v>
      </c>
      <c r="F302" s="213">
        <f t="shared" si="245"/>
        <v>43</v>
      </c>
      <c r="G302" s="201"/>
      <c r="H302" s="231" t="s">
        <v>117</v>
      </c>
      <c r="I302" s="321">
        <v>298</v>
      </c>
      <c r="J302" s="221" t="s">
        <v>50</v>
      </c>
      <c r="K302" s="292">
        <f t="shared" si="282"/>
        <v>-3.0333466886390008</v>
      </c>
      <c r="L302" s="331">
        <f t="shared" si="282"/>
        <v>-1</v>
      </c>
      <c r="M302" s="342">
        <f t="shared" si="282"/>
        <v>9.6749897030545995</v>
      </c>
      <c r="N302" s="342">
        <f t="shared" ref="N302:N374" si="285">IFERROR(IF(Q302&lt;P302,M302/Q302,M302/P302),"")</f>
        <v>0.16124982838424332</v>
      </c>
      <c r="O302" s="342">
        <f t="shared" si="283"/>
        <v>7.9958327826589543E-2</v>
      </c>
      <c r="P302" s="203">
        <f t="shared" si="283"/>
        <v>60</v>
      </c>
      <c r="Q302" s="203">
        <f>'Invoer en resultaat'!$H$9</f>
        <v>100</v>
      </c>
      <c r="R302" s="203">
        <f t="shared" ref="R302:R374" si="286">Q302-P302</f>
        <v>40</v>
      </c>
      <c r="S302" s="357">
        <f t="shared" si="284"/>
        <v>1</v>
      </c>
      <c r="T302" s="354">
        <f t="shared" si="284"/>
        <v>5.0000000000000001E-3</v>
      </c>
      <c r="U302" s="190">
        <f t="shared" si="284"/>
        <v>0.1</v>
      </c>
      <c r="V302" s="140"/>
      <c r="W302" s="140" t="s">
        <v>270</v>
      </c>
      <c r="X302" s="227"/>
      <c r="Y302" s="140" t="str">
        <f>'MKI-waarden'!$A$56</f>
        <v>Hemelwaterafvoer, koper, d = 80 mm, wd = 0,65 mm</v>
      </c>
    </row>
    <row r="303" spans="1:25" s="220" customFormat="1" ht="14.25" customHeight="1" x14ac:dyDescent="0.2">
      <c r="A303" s="208">
        <f t="shared" si="233"/>
        <v>9</v>
      </c>
      <c r="B303" s="209" t="s">
        <v>53</v>
      </c>
      <c r="C303" s="210">
        <f t="shared" si="259"/>
        <v>9</v>
      </c>
      <c r="D303" s="211">
        <f t="shared" si="276"/>
        <v>43</v>
      </c>
      <c r="E303" s="232" t="s">
        <v>79</v>
      </c>
      <c r="F303" s="213">
        <f t="shared" si="245"/>
        <v>43</v>
      </c>
      <c r="G303" s="214"/>
      <c r="H303" s="232" t="s">
        <v>1</v>
      </c>
      <c r="I303" s="321">
        <v>299</v>
      </c>
      <c r="J303" s="228" t="s">
        <v>50</v>
      </c>
      <c r="K303" s="296">
        <f t="shared" si="282"/>
        <v>0.88986051466321292</v>
      </c>
      <c r="L303" s="331">
        <f t="shared" si="282"/>
        <v>0.86174936823255432</v>
      </c>
      <c r="M303" s="345">
        <f t="shared" si="282"/>
        <v>0.33024634032040029</v>
      </c>
      <c r="N303" s="345">
        <f t="shared" si="285"/>
        <v>4.4032845376053373E-3</v>
      </c>
      <c r="O303" s="345">
        <f t="shared" si="283"/>
        <v>4.4032845376053373E-3</v>
      </c>
      <c r="P303" s="216">
        <f t="shared" si="283"/>
        <v>75</v>
      </c>
      <c r="Q303" s="203">
        <f>'Invoer en resultaat'!$H$9</f>
        <v>100</v>
      </c>
      <c r="R303" s="203">
        <f t="shared" si="286"/>
        <v>25</v>
      </c>
      <c r="S303" s="358">
        <f t="shared" si="284"/>
        <v>1</v>
      </c>
      <c r="T303" s="359">
        <f t="shared" si="284"/>
        <v>0.05</v>
      </c>
      <c r="U303" s="217">
        <f t="shared" si="284"/>
        <v>0.1</v>
      </c>
      <c r="V303" s="229"/>
      <c r="W303" s="229" t="s">
        <v>270</v>
      </c>
      <c r="X303" s="230"/>
      <c r="Y303" s="229" t="str">
        <f>'MKI-waarden'!$A$20</f>
        <v>Betonmortel C20/25 (CEM I)</v>
      </c>
    </row>
    <row r="304" spans="1:25" s="205" customFormat="1" ht="14.25" customHeight="1" x14ac:dyDescent="0.2">
      <c r="A304" s="196">
        <f t="shared" si="233"/>
        <v>9</v>
      </c>
      <c r="B304" s="197" t="s">
        <v>53</v>
      </c>
      <c r="C304" s="210">
        <f t="shared" si="259"/>
        <v>9</v>
      </c>
      <c r="D304" s="199">
        <f t="shared" si="276"/>
        <v>44</v>
      </c>
      <c r="E304" s="231" t="s">
        <v>72</v>
      </c>
      <c r="F304" s="213">
        <f t="shared" si="245"/>
        <v>44</v>
      </c>
      <c r="G304" s="201"/>
      <c r="H304" s="231" t="s">
        <v>660</v>
      </c>
      <c r="I304" s="321">
        <v>300</v>
      </c>
      <c r="J304" s="202" t="s">
        <v>49</v>
      </c>
      <c r="K304" s="292">
        <f>1-(N304/AVERAGE($N$108:$N$110))</f>
        <v>0.42182955580685466</v>
      </c>
      <c r="L304" s="331">
        <f>IF(K304&gt;-1,1-(O304/AVERAGE($O$304:$O$306)),1-(O304/AVERAGE($N$304:$N$306)))</f>
        <v>0.42182955580685466</v>
      </c>
      <c r="M304" s="342">
        <f>'MKI-waarden'!$D$115</f>
        <v>25.899532999999998</v>
      </c>
      <c r="N304" s="342">
        <f t="shared" si="285"/>
        <v>0.51799065999999994</v>
      </c>
      <c r="O304" s="342">
        <f>IF(K304&lt;-1,(2*AVERAGE($N$304:$N$306)),N304)</f>
        <v>0.51799065999999994</v>
      </c>
      <c r="P304" s="203">
        <v>50</v>
      </c>
      <c r="Q304" s="203">
        <f>'Invoer en resultaat'!$H$9</f>
        <v>100</v>
      </c>
      <c r="R304" s="203">
        <f t="shared" si="286"/>
        <v>50</v>
      </c>
      <c r="S304" s="357">
        <f>IF(Q304&lt;P304,0,ROUNDDOWN(Q304/P304-0.01,0))</f>
        <v>1</v>
      </c>
      <c r="T304" s="354">
        <v>5.0000000000000001E-3</v>
      </c>
      <c r="U304" s="190">
        <v>0</v>
      </c>
      <c r="W304" s="140" t="s">
        <v>147</v>
      </c>
      <c r="X304" s="140"/>
      <c r="Y304" s="140" t="str">
        <f>'MKI-waarden'!$A$115</f>
        <v>Rooster Kunststof GVK</v>
      </c>
    </row>
    <row r="305" spans="1:25" s="205" customFormat="1" ht="14.25" customHeight="1" x14ac:dyDescent="0.2">
      <c r="A305" s="196">
        <f t="shared" si="233"/>
        <v>9</v>
      </c>
      <c r="B305" s="197" t="s">
        <v>53</v>
      </c>
      <c r="C305" s="210">
        <f>IF(B305=B304,C304,C304+1)</f>
        <v>9</v>
      </c>
      <c r="D305" s="199">
        <f t="shared" si="276"/>
        <v>44</v>
      </c>
      <c r="E305" s="231" t="s">
        <v>72</v>
      </c>
      <c r="F305" s="213">
        <f>IF(E305=E304,F304,F304+1)</f>
        <v>44</v>
      </c>
      <c r="G305" s="201"/>
      <c r="H305" s="231" t="s">
        <v>4</v>
      </c>
      <c r="I305" s="321">
        <v>301</v>
      </c>
      <c r="J305" s="202" t="s">
        <v>49</v>
      </c>
      <c r="K305" s="292">
        <f>1-(N305/AVERAGE($N$108:$N$110))</f>
        <v>0.32264715936501998</v>
      </c>
      <c r="L305" s="331">
        <f>IF(K305&gt;-1,1-(O305/AVERAGE($O$304:$O$306)),1-(O305/AVERAGE($N$304:$N$306)))</f>
        <v>0.32264715936501998</v>
      </c>
      <c r="M305" s="342">
        <f>'MKI-waarden'!$D$114</f>
        <v>12.136989999999999</v>
      </c>
      <c r="N305" s="342">
        <f t="shared" si="285"/>
        <v>0.60684949999999993</v>
      </c>
      <c r="O305" s="342">
        <f>IF(K305&lt;-1,(2*AVERAGE($N$304:$N$306)),N305)</f>
        <v>0.60684949999999993</v>
      </c>
      <c r="P305" s="203">
        <v>20</v>
      </c>
      <c r="Q305" s="203">
        <f>'Invoer en resultaat'!$H$9</f>
        <v>100</v>
      </c>
      <c r="R305" s="203">
        <f t="shared" si="286"/>
        <v>80</v>
      </c>
      <c r="S305" s="357">
        <f>IF(Q305&lt;P305,0,ROUNDDOWN(Q305/P305-0.01,0))</f>
        <v>4</v>
      </c>
      <c r="T305" s="354">
        <v>5.0000000000000001E-3</v>
      </c>
      <c r="U305" s="190">
        <v>0</v>
      </c>
      <c r="W305" s="140" t="s">
        <v>147</v>
      </c>
      <c r="X305" s="140"/>
      <c r="Y305" s="140" t="str">
        <f>'MKI-waarden'!$A$114</f>
        <v xml:space="preserve">Rooster Staal </v>
      </c>
    </row>
    <row r="306" spans="1:25" s="220" customFormat="1" ht="14.25" customHeight="1" x14ac:dyDescent="0.2">
      <c r="A306" s="208">
        <f t="shared" si="233"/>
        <v>9</v>
      </c>
      <c r="B306" s="209" t="s">
        <v>53</v>
      </c>
      <c r="C306" s="210">
        <f t="shared" si="259"/>
        <v>9</v>
      </c>
      <c r="D306" s="211">
        <f t="shared" si="276"/>
        <v>44</v>
      </c>
      <c r="E306" s="232" t="s">
        <v>72</v>
      </c>
      <c r="F306" s="213">
        <f t="shared" si="245"/>
        <v>44</v>
      </c>
      <c r="G306" s="214"/>
      <c r="H306" s="232" t="s">
        <v>28</v>
      </c>
      <c r="I306" s="321">
        <v>302</v>
      </c>
      <c r="J306" s="215" t="s">
        <v>49</v>
      </c>
      <c r="K306" s="296">
        <f>1-(N306/AVERAGE($N$108:$N$110))</f>
        <v>-0.74447671517187519</v>
      </c>
      <c r="L306" s="331">
        <f>IF(K306&gt;-1,1-(O306/AVERAGE($O$304:$O$306)),1-(O306/AVERAGE($N$304:$N$306)))</f>
        <v>-0.74447671517187519</v>
      </c>
      <c r="M306" s="345">
        <f>'MKI-waarden'!$D$113</f>
        <v>78.145005000000026</v>
      </c>
      <c r="N306" s="345">
        <f t="shared" si="285"/>
        <v>1.5629001000000005</v>
      </c>
      <c r="O306" s="345">
        <f>IF(K306&lt;-1,(2*AVERAGE($N$304:$N$306)),N306)</f>
        <v>1.5629001000000005</v>
      </c>
      <c r="P306" s="216">
        <v>50</v>
      </c>
      <c r="Q306" s="203">
        <f>'Invoer en resultaat'!$H$9</f>
        <v>100</v>
      </c>
      <c r="R306" s="203">
        <f t="shared" si="286"/>
        <v>50</v>
      </c>
      <c r="S306" s="358">
        <f>IF(Q306&lt;P306,0,ROUNDDOWN(Q306/P306-0.01,0))</f>
        <v>1</v>
      </c>
      <c r="T306" s="359">
        <v>5.0000000000000001E-3</v>
      </c>
      <c r="U306" s="217">
        <v>0</v>
      </c>
      <c r="W306" s="229" t="s">
        <v>147</v>
      </c>
      <c r="X306" s="229"/>
      <c r="Y306" s="229" t="str">
        <f>'MKI-waarden'!$A$113</f>
        <v xml:space="preserve">Rooster RVS </v>
      </c>
    </row>
    <row r="307" spans="1:25" s="205" customFormat="1" ht="14.25" customHeight="1" x14ac:dyDescent="0.2">
      <c r="A307" s="196">
        <f t="shared" si="233"/>
        <v>9</v>
      </c>
      <c r="B307" s="197" t="s">
        <v>53</v>
      </c>
      <c r="C307" s="210">
        <f t="shared" si="259"/>
        <v>9</v>
      </c>
      <c r="D307" s="199">
        <f t="shared" si="276"/>
        <v>45</v>
      </c>
      <c r="E307" s="231" t="s">
        <v>68</v>
      </c>
      <c r="F307" s="213">
        <f t="shared" si="245"/>
        <v>45</v>
      </c>
      <c r="G307" s="201"/>
      <c r="H307" s="231" t="s">
        <v>13</v>
      </c>
      <c r="I307" s="321">
        <v>303</v>
      </c>
      <c r="J307" s="202" t="s">
        <v>50</v>
      </c>
      <c r="K307" s="292">
        <f t="shared" ref="K307:M309" si="287">K69</f>
        <v>0.99019505219053094</v>
      </c>
      <c r="L307" s="331">
        <f t="shared" si="287"/>
        <v>0.98646001448450704</v>
      </c>
      <c r="M307" s="342">
        <f t="shared" si="287"/>
        <v>0.62954898784061475</v>
      </c>
      <c r="N307" s="342">
        <f t="shared" si="285"/>
        <v>8.3939865045415292E-3</v>
      </c>
      <c r="O307" s="342">
        <f t="shared" ref="O307:P309" si="288">O69</f>
        <v>8.3939865045415292E-3</v>
      </c>
      <c r="P307" s="203">
        <f t="shared" si="288"/>
        <v>75</v>
      </c>
      <c r="Q307" s="203">
        <f>'Invoer en resultaat'!$H$9</f>
        <v>100</v>
      </c>
      <c r="R307" s="203">
        <f t="shared" si="286"/>
        <v>25</v>
      </c>
      <c r="S307" s="357">
        <f t="shared" ref="S307:U309" si="289">S69</f>
        <v>1</v>
      </c>
      <c r="T307" s="354">
        <f t="shared" si="289"/>
        <v>3.0000000000000001E-3</v>
      </c>
      <c r="U307" s="190">
        <f t="shared" si="289"/>
        <v>0.1</v>
      </c>
      <c r="V307" s="205" t="s">
        <v>664</v>
      </c>
      <c r="W307" s="140" t="s">
        <v>561</v>
      </c>
      <c r="X307" s="140"/>
      <c r="Y307" s="140" t="str">
        <f>Y69</f>
        <v>Leuning, Europees naaldhout, duurzame bosbouw</v>
      </c>
    </row>
    <row r="308" spans="1:25" s="205" customFormat="1" ht="14.25" customHeight="1" x14ac:dyDescent="0.2">
      <c r="A308" s="196">
        <f t="shared" si="233"/>
        <v>9</v>
      </c>
      <c r="B308" s="197" t="s">
        <v>53</v>
      </c>
      <c r="C308" s="210">
        <f t="shared" si="259"/>
        <v>9</v>
      </c>
      <c r="D308" s="199">
        <f t="shared" si="276"/>
        <v>45</v>
      </c>
      <c r="E308" s="231" t="s">
        <v>68</v>
      </c>
      <c r="F308" s="213">
        <f t="shared" si="245"/>
        <v>45</v>
      </c>
      <c r="G308" s="201"/>
      <c r="H308" s="231" t="s">
        <v>4</v>
      </c>
      <c r="I308" s="321">
        <v>304</v>
      </c>
      <c r="J308" s="202" t="s">
        <v>50</v>
      </c>
      <c r="K308" s="292">
        <f t="shared" si="287"/>
        <v>0.83736219336562401</v>
      </c>
      <c r="L308" s="331">
        <f t="shared" si="287"/>
        <v>0.77540792782453039</v>
      </c>
      <c r="M308" s="342">
        <f t="shared" si="287"/>
        <v>10.4425305</v>
      </c>
      <c r="N308" s="342">
        <f t="shared" si="285"/>
        <v>0.13923373999999999</v>
      </c>
      <c r="O308" s="342">
        <f t="shared" si="288"/>
        <v>0.13923373999999999</v>
      </c>
      <c r="P308" s="203">
        <f t="shared" si="288"/>
        <v>75</v>
      </c>
      <c r="Q308" s="203">
        <f>'Invoer en resultaat'!$H$9</f>
        <v>100</v>
      </c>
      <c r="R308" s="203">
        <f t="shared" si="286"/>
        <v>25</v>
      </c>
      <c r="S308" s="357">
        <f t="shared" si="289"/>
        <v>1</v>
      </c>
      <c r="T308" s="354">
        <f t="shared" si="289"/>
        <v>3.0000000000000001E-3</v>
      </c>
      <c r="U308" s="190">
        <f t="shared" si="289"/>
        <v>0.05</v>
      </c>
      <c r="V308" s="205" t="s">
        <v>663</v>
      </c>
      <c r="W308" s="140" t="s">
        <v>333</v>
      </c>
      <c r="X308" s="140" t="s">
        <v>234</v>
      </c>
      <c r="Y308" s="140" t="str">
        <f>Y70</f>
        <v xml:space="preserve">Leuning, Staal gecoat </v>
      </c>
    </row>
    <row r="309" spans="1:25" s="220" customFormat="1" ht="14.25" customHeight="1" x14ac:dyDescent="0.2">
      <c r="A309" s="208">
        <f>C309</f>
        <v>9</v>
      </c>
      <c r="B309" s="209" t="s">
        <v>53</v>
      </c>
      <c r="C309" s="210">
        <f>IF(B309=B308,C308,C308+1)</f>
        <v>9</v>
      </c>
      <c r="D309" s="211">
        <f>F309</f>
        <v>45</v>
      </c>
      <c r="E309" s="232" t="s">
        <v>68</v>
      </c>
      <c r="F309" s="213">
        <f>IF(E309=E308,F308,F308+1)</f>
        <v>45</v>
      </c>
      <c r="G309" s="214"/>
      <c r="H309" s="232" t="s">
        <v>28</v>
      </c>
      <c r="I309" s="321">
        <v>305</v>
      </c>
      <c r="J309" s="215" t="s">
        <v>50</v>
      </c>
      <c r="K309" s="296">
        <f t="shared" si="287"/>
        <v>-1.8275572455561551</v>
      </c>
      <c r="L309" s="331">
        <f t="shared" si="287"/>
        <v>-1</v>
      </c>
      <c r="M309" s="345">
        <f t="shared" si="287"/>
        <v>181.54974780000001</v>
      </c>
      <c r="N309" s="345">
        <f>IFERROR(IF(Q309&lt;P309,M309/Q309,M309/P309),"")</f>
        <v>2.4206633040000001</v>
      </c>
      <c r="O309" s="345">
        <f t="shared" si="288"/>
        <v>1.712194020336361</v>
      </c>
      <c r="P309" s="216">
        <f t="shared" si="288"/>
        <v>75</v>
      </c>
      <c r="Q309" s="203">
        <f>'Invoer en resultaat'!$H$9</f>
        <v>100</v>
      </c>
      <c r="R309" s="203">
        <f>Q309-P309</f>
        <v>25</v>
      </c>
      <c r="S309" s="358">
        <f t="shared" si="289"/>
        <v>1</v>
      </c>
      <c r="T309" s="359">
        <f t="shared" si="289"/>
        <v>3.0000000000000001E-3</v>
      </c>
      <c r="U309" s="217">
        <f t="shared" si="289"/>
        <v>0.05</v>
      </c>
      <c r="V309" s="218"/>
      <c r="W309" s="229" t="s">
        <v>262</v>
      </c>
      <c r="X309" s="229" t="s">
        <v>234</v>
      </c>
      <c r="Y309" s="229" t="str">
        <f>Y71</f>
        <v>Leuning, RVS</v>
      </c>
    </row>
    <row r="310" spans="1:25" s="510" customFormat="1" x14ac:dyDescent="0.2">
      <c r="A310" s="494">
        <f>C310</f>
        <v>9</v>
      </c>
      <c r="B310" s="209" t="str">
        <f>B309</f>
        <v>Sluis</v>
      </c>
      <c r="C310" s="496">
        <f>IF(B310=B309,C309,C309+1)</f>
        <v>9</v>
      </c>
      <c r="D310" s="497">
        <f>F310</f>
        <v>45</v>
      </c>
      <c r="E310" s="232" t="str">
        <f>E309</f>
        <v>leuning</v>
      </c>
      <c r="F310" s="213">
        <f>IF(E310=E309,F309,F309+1)</f>
        <v>45</v>
      </c>
      <c r="G310" s="214"/>
      <c r="H310" s="232" t="s">
        <v>669</v>
      </c>
      <c r="I310" s="321">
        <v>306</v>
      </c>
      <c r="J310" s="501" t="s">
        <v>49</v>
      </c>
      <c r="K310" s="502"/>
      <c r="L310" s="503"/>
      <c r="M310" s="504"/>
      <c r="N310" s="504"/>
      <c r="O310" s="504"/>
      <c r="P310" s="505">
        <v>50</v>
      </c>
      <c r="Q310" s="513">
        <f>'Invoer en resultaat'!$H$9</f>
        <v>100</v>
      </c>
      <c r="R310" s="513">
        <f>Q310-P310</f>
        <v>50</v>
      </c>
      <c r="S310" s="514">
        <f>IF(Q310&lt;P310,0,ROUNDDOWN(Q310/P310-0.01,0))</f>
        <v>1</v>
      </c>
      <c r="T310" s="506"/>
      <c r="U310" s="507"/>
      <c r="V310" s="508" t="s">
        <v>668</v>
      </c>
      <c r="W310" s="509"/>
      <c r="X310" s="509"/>
      <c r="Y310" s="509"/>
    </row>
    <row r="311" spans="1:25" s="205" customFormat="1" ht="14.25" customHeight="1" x14ac:dyDescent="0.2">
      <c r="A311" s="196">
        <f t="shared" si="233"/>
        <v>9</v>
      </c>
      <c r="B311" s="197" t="s">
        <v>53</v>
      </c>
      <c r="C311" s="210">
        <f>IF(B311=B309,C309,C309+1)</f>
        <v>9</v>
      </c>
      <c r="D311" s="199">
        <f t="shared" si="276"/>
        <v>46</v>
      </c>
      <c r="E311" s="231" t="s">
        <v>93</v>
      </c>
      <c r="F311" s="213">
        <f>IF(E311=E309,F309,F309+1)</f>
        <v>46</v>
      </c>
      <c r="G311" s="201"/>
      <c r="H311" s="231" t="s">
        <v>83</v>
      </c>
      <c r="I311" s="321">
        <v>307</v>
      </c>
      <c r="J311" s="202" t="s">
        <v>49</v>
      </c>
      <c r="K311" s="292">
        <f>K337</f>
        <v>-1.1002841855679293</v>
      </c>
      <c r="L311" s="331">
        <f>L337</f>
        <v>-1</v>
      </c>
      <c r="M311" s="342">
        <f t="shared" ref="M311:T311" si="290">M337</f>
        <v>3.6711</v>
      </c>
      <c r="N311" s="342">
        <f t="shared" si="285"/>
        <v>7.3422000000000001E-2</v>
      </c>
      <c r="O311" s="342">
        <f t="shared" ref="O311:O316" si="291">O115</f>
        <v>6.9916252766666673E-2</v>
      </c>
      <c r="P311" s="203">
        <f>P337</f>
        <v>50</v>
      </c>
      <c r="Q311" s="203">
        <f>'Invoer en resultaat'!$H$9</f>
        <v>100</v>
      </c>
      <c r="R311" s="203">
        <f t="shared" si="286"/>
        <v>50</v>
      </c>
      <c r="S311" s="357">
        <f t="shared" si="290"/>
        <v>1</v>
      </c>
      <c r="T311" s="354">
        <f t="shared" si="290"/>
        <v>5.2999999999999999E-2</v>
      </c>
      <c r="U311" s="190">
        <v>0</v>
      </c>
      <c r="V311" s="174"/>
      <c r="W311" s="140" t="str">
        <f>W337</f>
        <v>Op basis van kunststof grastegels van 5 cm dik</v>
      </c>
      <c r="X311" s="140"/>
      <c r="Y311" s="140" t="str">
        <f t="shared" ref="Y311:Y316" si="292">Y337</f>
        <v>Bekleding, kunststof grastegels grids (HPDE)</v>
      </c>
    </row>
    <row r="312" spans="1:25" s="205" customFormat="1" ht="14.25" customHeight="1" x14ac:dyDescent="0.2">
      <c r="A312" s="196">
        <f t="shared" si="233"/>
        <v>9</v>
      </c>
      <c r="B312" s="197" t="s">
        <v>53</v>
      </c>
      <c r="C312" s="210">
        <f t="shared" si="259"/>
        <v>9</v>
      </c>
      <c r="D312" s="199">
        <f t="shared" si="276"/>
        <v>46</v>
      </c>
      <c r="E312" s="231" t="s">
        <v>93</v>
      </c>
      <c r="F312" s="213">
        <f t="shared" si="245"/>
        <v>46</v>
      </c>
      <c r="G312" s="201"/>
      <c r="H312" s="231" t="s">
        <v>36</v>
      </c>
      <c r="I312" s="321">
        <v>308</v>
      </c>
      <c r="J312" s="202" t="s">
        <v>49</v>
      </c>
      <c r="K312" s="292">
        <f t="shared" ref="K312:L312" si="293">K338</f>
        <v>-0.8527599359809892</v>
      </c>
      <c r="L312" s="331">
        <f t="shared" si="293"/>
        <v>-0.86837396610828055</v>
      </c>
      <c r="M312" s="342">
        <f>M338</f>
        <v>3.2384507999999999</v>
      </c>
      <c r="N312" s="342">
        <f t="shared" si="285"/>
        <v>6.4769015999999999E-2</v>
      </c>
      <c r="O312" s="342">
        <f t="shared" si="291"/>
        <v>6.4769015999999999E-2</v>
      </c>
      <c r="P312" s="203">
        <f t="shared" ref="P312:P322" si="294">P338</f>
        <v>50</v>
      </c>
      <c r="Q312" s="203">
        <f>'Invoer en resultaat'!$H$9</f>
        <v>100</v>
      </c>
      <c r="R312" s="203">
        <f t="shared" si="286"/>
        <v>50</v>
      </c>
      <c r="S312" s="357">
        <f t="shared" ref="S312:T316" si="295">S338</f>
        <v>1</v>
      </c>
      <c r="T312" s="354">
        <f t="shared" si="295"/>
        <v>0.12</v>
      </c>
      <c r="U312" s="190">
        <v>0</v>
      </c>
      <c r="V312" s="174"/>
      <c r="W312" s="140"/>
      <c r="X312" s="140"/>
      <c r="Y312" s="140" t="str">
        <f t="shared" si="292"/>
        <v>Betonmortel C30/37 (CEMIII) 2386 kgm3</v>
      </c>
    </row>
    <row r="313" spans="1:25" s="205" customFormat="1" ht="14.25" customHeight="1" x14ac:dyDescent="0.2">
      <c r="A313" s="196">
        <f t="shared" si="233"/>
        <v>9</v>
      </c>
      <c r="B313" s="197" t="s">
        <v>53</v>
      </c>
      <c r="C313" s="210">
        <f t="shared" si="259"/>
        <v>9</v>
      </c>
      <c r="D313" s="199">
        <f t="shared" si="276"/>
        <v>46</v>
      </c>
      <c r="E313" s="231" t="s">
        <v>93</v>
      </c>
      <c r="F313" s="213">
        <f t="shared" si="245"/>
        <v>46</v>
      </c>
      <c r="G313" s="201"/>
      <c r="H313" s="231" t="s">
        <v>45</v>
      </c>
      <c r="I313" s="321">
        <v>309</v>
      </c>
      <c r="J313" s="202" t="s">
        <v>49</v>
      </c>
      <c r="K313" s="292">
        <f t="shared" ref="K313" si="296">K339</f>
        <v>-0.54396661331749097</v>
      </c>
      <c r="L313" s="331">
        <f>$L$339</f>
        <v>-0.54396661331749097</v>
      </c>
      <c r="M313" s="342">
        <f>M339</f>
        <v>2.698709</v>
      </c>
      <c r="N313" s="342">
        <f t="shared" si="285"/>
        <v>5.3974180000000004E-2</v>
      </c>
      <c r="O313" s="342">
        <f t="shared" si="291"/>
        <v>5.3974180000000004E-2</v>
      </c>
      <c r="P313" s="203">
        <f t="shared" si="294"/>
        <v>50</v>
      </c>
      <c r="Q313" s="203">
        <f>'Invoer en resultaat'!$H$9</f>
        <v>100</v>
      </c>
      <c r="R313" s="203">
        <f t="shared" si="286"/>
        <v>50</v>
      </c>
      <c r="S313" s="357">
        <f t="shared" si="295"/>
        <v>1</v>
      </c>
      <c r="T313" s="354">
        <f t="shared" si="295"/>
        <v>0.1</v>
      </c>
      <c r="U313" s="190">
        <v>0</v>
      </c>
      <c r="V313" s="174"/>
      <c r="W313" s="140"/>
      <c r="X313" s="140"/>
      <c r="Y313" s="140" t="str">
        <f t="shared" si="292"/>
        <v>Betonmortel C30/37 (CEMIII) 2386 kgm3</v>
      </c>
    </row>
    <row r="314" spans="1:25" s="205" customFormat="1" ht="14.25" customHeight="1" x14ac:dyDescent="0.2">
      <c r="A314" s="196">
        <f t="shared" si="233"/>
        <v>9</v>
      </c>
      <c r="B314" s="197" t="s">
        <v>53</v>
      </c>
      <c r="C314" s="210">
        <f t="shared" si="259"/>
        <v>9</v>
      </c>
      <c r="D314" s="199">
        <f t="shared" si="276"/>
        <v>46</v>
      </c>
      <c r="E314" s="231" t="s">
        <v>93</v>
      </c>
      <c r="F314" s="213">
        <f t="shared" si="245"/>
        <v>46</v>
      </c>
      <c r="G314" s="201"/>
      <c r="H314" s="231" t="s">
        <v>2</v>
      </c>
      <c r="I314" s="321">
        <v>310</v>
      </c>
      <c r="J314" s="202" t="s">
        <v>49</v>
      </c>
      <c r="K314" s="292">
        <f t="shared" ref="K314:L314" si="297">K340</f>
        <v>-0.54396661331749097</v>
      </c>
      <c r="L314" s="331">
        <f t="shared" si="297"/>
        <v>-0.55697830509023394</v>
      </c>
      <c r="M314" s="342">
        <f>M340</f>
        <v>2.698709</v>
      </c>
      <c r="N314" s="342">
        <f t="shared" si="285"/>
        <v>5.3974180000000004E-2</v>
      </c>
      <c r="O314" s="342">
        <f t="shared" si="291"/>
        <v>5.3974180000000004E-2</v>
      </c>
      <c r="P314" s="203">
        <f t="shared" si="294"/>
        <v>50</v>
      </c>
      <c r="Q314" s="203">
        <f>'Invoer en resultaat'!$H$9</f>
        <v>100</v>
      </c>
      <c r="R314" s="203">
        <f t="shared" si="286"/>
        <v>50</v>
      </c>
      <c r="S314" s="357">
        <f t="shared" si="295"/>
        <v>1</v>
      </c>
      <c r="T314" s="354">
        <f t="shared" si="295"/>
        <v>0.1</v>
      </c>
      <c r="U314" s="190">
        <v>0</v>
      </c>
      <c r="V314" s="174"/>
      <c r="W314" s="140"/>
      <c r="X314" s="140"/>
      <c r="Y314" s="140" t="str">
        <f t="shared" si="292"/>
        <v>Betonmortel C30/37 (CEMIII) 2386 kgm3</v>
      </c>
    </row>
    <row r="315" spans="1:25" s="205" customFormat="1" ht="14.25" customHeight="1" x14ac:dyDescent="0.2">
      <c r="A315" s="196">
        <f t="shared" si="233"/>
        <v>9</v>
      </c>
      <c r="B315" s="197" t="s">
        <v>53</v>
      </c>
      <c r="C315" s="210">
        <f t="shared" si="259"/>
        <v>9</v>
      </c>
      <c r="D315" s="199">
        <f t="shared" si="276"/>
        <v>46</v>
      </c>
      <c r="E315" s="231" t="s">
        <v>93</v>
      </c>
      <c r="F315" s="213">
        <f t="shared" si="245"/>
        <v>46</v>
      </c>
      <c r="G315" s="201"/>
      <c r="H315" s="231" t="s">
        <v>46</v>
      </c>
      <c r="I315" s="321">
        <v>311</v>
      </c>
      <c r="J315" s="202" t="s">
        <v>49</v>
      </c>
      <c r="K315" s="292">
        <f t="shared" ref="K315:L315" si="298">K341</f>
        <v>0.99514657627415382</v>
      </c>
      <c r="L315" s="331">
        <f t="shared" si="298"/>
        <v>0.99510567431874974</v>
      </c>
      <c r="M315" s="342">
        <f>M341</f>
        <v>8.483329999999999E-3</v>
      </c>
      <c r="N315" s="342">
        <f t="shared" si="285"/>
        <v>1.6966659999999997E-4</v>
      </c>
      <c r="O315" s="342">
        <f t="shared" si="291"/>
        <v>1.6966659999999997E-4</v>
      </c>
      <c r="P315" s="203">
        <f t="shared" si="294"/>
        <v>50</v>
      </c>
      <c r="Q315" s="203">
        <f>'Invoer en resultaat'!$H$9</f>
        <v>100</v>
      </c>
      <c r="R315" s="203">
        <f t="shared" si="286"/>
        <v>50</v>
      </c>
      <c r="S315" s="357">
        <f t="shared" si="295"/>
        <v>1</v>
      </c>
      <c r="T315" s="354">
        <f t="shared" si="295"/>
        <v>0.1</v>
      </c>
      <c r="U315" s="190">
        <v>0</v>
      </c>
      <c r="V315" s="174"/>
      <c r="W315" s="140"/>
      <c r="X315" s="140"/>
      <c r="Y315" s="140" t="str">
        <f t="shared" si="292"/>
        <v>Straatbaksteen GWW, KNB</v>
      </c>
    </row>
    <row r="316" spans="1:25" s="205" customFormat="1" ht="14.25" customHeight="1" x14ac:dyDescent="0.2">
      <c r="A316" s="196">
        <f t="shared" si="233"/>
        <v>9</v>
      </c>
      <c r="B316" s="197" t="s">
        <v>53</v>
      </c>
      <c r="C316" s="210">
        <f t="shared" si="259"/>
        <v>9</v>
      </c>
      <c r="D316" s="199">
        <f t="shared" si="276"/>
        <v>46</v>
      </c>
      <c r="E316" s="231" t="s">
        <v>93</v>
      </c>
      <c r="F316" s="213">
        <f t="shared" si="245"/>
        <v>46</v>
      </c>
      <c r="G316" s="201"/>
      <c r="H316" s="231" t="s">
        <v>56</v>
      </c>
      <c r="I316" s="321">
        <v>312</v>
      </c>
      <c r="J316" s="202" t="s">
        <v>49</v>
      </c>
      <c r="K316" s="292">
        <f t="shared" ref="K316:L316" si="299">K342</f>
        <v>-0.23517329065399251</v>
      </c>
      <c r="L316" s="331">
        <f t="shared" si="299"/>
        <v>-0.24558264407218688</v>
      </c>
      <c r="M316" s="342">
        <f>M342</f>
        <v>2.1589671999999998</v>
      </c>
      <c r="N316" s="342">
        <f t="shared" si="285"/>
        <v>4.3179343999999995E-2</v>
      </c>
      <c r="O316" s="342">
        <f t="shared" si="291"/>
        <v>4.3179343999999995E-2</v>
      </c>
      <c r="P316" s="203">
        <f t="shared" si="294"/>
        <v>50</v>
      </c>
      <c r="Q316" s="203">
        <f>'Invoer en resultaat'!$H$9</f>
        <v>100</v>
      </c>
      <c r="R316" s="203">
        <f t="shared" si="286"/>
        <v>50</v>
      </c>
      <c r="S316" s="357">
        <f t="shared" si="295"/>
        <v>1</v>
      </c>
      <c r="T316" s="354">
        <f t="shared" si="295"/>
        <v>0.08</v>
      </c>
      <c r="U316" s="190">
        <v>0</v>
      </c>
      <c r="V316" s="174"/>
      <c r="W316" s="140"/>
      <c r="X316" s="140"/>
      <c r="Y316" s="140" t="str">
        <f t="shared" si="292"/>
        <v>Betonmortel C30/37 (CEMIII) 2386 kgm3</v>
      </c>
    </row>
    <row r="317" spans="1:25" s="205" customFormat="1" ht="14.25" customHeight="1" x14ac:dyDescent="0.2">
      <c r="A317" s="196">
        <f t="shared" ref="A317:A318" si="300">C317</f>
        <v>9</v>
      </c>
      <c r="B317" s="197" t="s">
        <v>53</v>
      </c>
      <c r="C317" s="210">
        <f t="shared" ref="C317:C318" si="301">IF(B317=B316,C316,C316+1)</f>
        <v>9</v>
      </c>
      <c r="D317" s="199">
        <f t="shared" ref="D317:D318" si="302">F317</f>
        <v>46</v>
      </c>
      <c r="E317" s="231" t="s">
        <v>93</v>
      </c>
      <c r="F317" s="213">
        <f t="shared" ref="F317:F318" si="303">IF(E317=E316,F316,F316+1)</f>
        <v>46</v>
      </c>
      <c r="G317" s="201"/>
      <c r="H317" s="231" t="str">
        <f>H343</f>
        <v>Biobound betontegels</v>
      </c>
      <c r="I317" s="321">
        <v>313</v>
      </c>
      <c r="J317" s="202" t="s">
        <v>49</v>
      </c>
      <c r="K317" s="292">
        <f t="shared" ref="K317:W317" si="304">K$343</f>
        <v>0.11757284524530121</v>
      </c>
      <c r="L317" s="331">
        <f t="shared" si="304"/>
        <v>0.11013624004248812</v>
      </c>
      <c r="M317" s="342">
        <f t="shared" si="304"/>
        <v>1.5424000000000002</v>
      </c>
      <c r="N317" s="342">
        <f t="shared" si="304"/>
        <v>3.0848000000000004E-2</v>
      </c>
      <c r="O317" s="342">
        <f t="shared" si="304"/>
        <v>3.0848000000000004E-2</v>
      </c>
      <c r="P317" s="203">
        <f t="shared" si="294"/>
        <v>50</v>
      </c>
      <c r="Q317" s="203">
        <f t="shared" si="304"/>
        <v>100</v>
      </c>
      <c r="R317" s="204">
        <f t="shared" si="304"/>
        <v>50</v>
      </c>
      <c r="S317" s="354">
        <f t="shared" si="304"/>
        <v>1</v>
      </c>
      <c r="T317" s="354">
        <f t="shared" si="304"/>
        <v>0.08</v>
      </c>
      <c r="U317" s="174">
        <f t="shared" si="304"/>
        <v>0</v>
      </c>
      <c r="V317" s="140">
        <f t="shared" si="304"/>
        <v>0</v>
      </c>
      <c r="W317" s="140">
        <f t="shared" si="304"/>
        <v>0</v>
      </c>
      <c r="X317" s="140"/>
      <c r="Y317" s="140" t="str">
        <f>Y$343</f>
        <v>Biobound betontegels, 8 cm dik</v>
      </c>
    </row>
    <row r="318" spans="1:25" s="205" customFormat="1" ht="14.25" customHeight="1" x14ac:dyDescent="0.2">
      <c r="A318" s="196">
        <f t="shared" si="300"/>
        <v>9</v>
      </c>
      <c r="B318" s="197" t="s">
        <v>53</v>
      </c>
      <c r="C318" s="210">
        <f t="shared" si="301"/>
        <v>9</v>
      </c>
      <c r="D318" s="199">
        <f t="shared" si="302"/>
        <v>46</v>
      </c>
      <c r="E318" s="231" t="s">
        <v>93</v>
      </c>
      <c r="F318" s="213">
        <f t="shared" si="303"/>
        <v>46</v>
      </c>
      <c r="G318" s="201"/>
      <c r="H318" s="231" t="str">
        <f>H344</f>
        <v>Biobound betonstraatstenen</v>
      </c>
      <c r="I318" s="321">
        <v>314</v>
      </c>
      <c r="J318" s="202" t="s">
        <v>49</v>
      </c>
      <c r="K318" s="292">
        <f t="shared" ref="K318:W318" si="305">K$344</f>
        <v>0.11951802958539859</v>
      </c>
      <c r="L318" s="331">
        <f t="shared" si="305"/>
        <v>0.11209781731417889</v>
      </c>
      <c r="M318" s="342">
        <f t="shared" si="305"/>
        <v>1.5389999999999999</v>
      </c>
      <c r="N318" s="342">
        <f t="shared" si="305"/>
        <v>3.0779999999999998E-2</v>
      </c>
      <c r="O318" s="342">
        <f t="shared" si="305"/>
        <v>3.0779999999999998E-2</v>
      </c>
      <c r="P318" s="203">
        <f t="shared" si="294"/>
        <v>50</v>
      </c>
      <c r="Q318" s="203">
        <f t="shared" si="305"/>
        <v>100</v>
      </c>
      <c r="R318" s="204">
        <f t="shared" si="305"/>
        <v>50</v>
      </c>
      <c r="S318" s="354">
        <f t="shared" si="305"/>
        <v>1</v>
      </c>
      <c r="T318" s="354">
        <f t="shared" si="305"/>
        <v>0.1</v>
      </c>
      <c r="U318" s="174">
        <f t="shared" si="305"/>
        <v>0</v>
      </c>
      <c r="V318" s="140">
        <f t="shared" si="305"/>
        <v>0</v>
      </c>
      <c r="W318" s="140">
        <f t="shared" si="305"/>
        <v>0</v>
      </c>
      <c r="X318" s="140"/>
      <c r="Y318" s="140" t="str">
        <f>Y$344</f>
        <v>Biobound betonstraatstenen, 10 cm dik</v>
      </c>
    </row>
    <row r="319" spans="1:25" s="205" customFormat="1" ht="14.25" customHeight="1" x14ac:dyDescent="0.2">
      <c r="A319" s="196">
        <f t="shared" si="233"/>
        <v>9</v>
      </c>
      <c r="B319" s="197" t="s">
        <v>53</v>
      </c>
      <c r="C319" s="210">
        <f>IF(B319=B316,C316,C316+1)</f>
        <v>9</v>
      </c>
      <c r="D319" s="199">
        <f t="shared" si="276"/>
        <v>46</v>
      </c>
      <c r="E319" s="231" t="s">
        <v>93</v>
      </c>
      <c r="F319" s="213">
        <f>IF(E319=E316,F316,F316+1)</f>
        <v>46</v>
      </c>
      <c r="G319" s="201"/>
      <c r="H319" s="231" t="s">
        <v>0</v>
      </c>
      <c r="I319" s="321">
        <v>315</v>
      </c>
      <c r="J319" s="202" t="s">
        <v>49</v>
      </c>
      <c r="K319" s="292">
        <f t="shared" ref="K319:L320" si="306">K345</f>
        <v>0.2768133588517171</v>
      </c>
      <c r="L319" s="331">
        <f t="shared" si="306"/>
        <v>0.27071874411871599</v>
      </c>
      <c r="M319" s="342">
        <f t="shared" ref="M319:M322" si="307">M345</f>
        <v>0.5056250000000001</v>
      </c>
      <c r="N319" s="342">
        <f t="shared" si="285"/>
        <v>2.5281250000000005E-2</v>
      </c>
      <c r="O319" s="342">
        <f>O123</f>
        <v>2.5281250000000005E-2</v>
      </c>
      <c r="P319" s="203">
        <f t="shared" si="294"/>
        <v>20</v>
      </c>
      <c r="Q319" s="203">
        <f>'Invoer en resultaat'!$H$9</f>
        <v>100</v>
      </c>
      <c r="R319" s="203">
        <f t="shared" si="286"/>
        <v>80</v>
      </c>
      <c r="S319" s="357">
        <f t="shared" ref="S319:T322" si="308">S345</f>
        <v>4</v>
      </c>
      <c r="T319" s="354">
        <f t="shared" si="308"/>
        <v>2.5000000000000001E-2</v>
      </c>
      <c r="U319" s="190">
        <v>0</v>
      </c>
      <c r="V319" s="174"/>
      <c r="W319" s="140"/>
      <c r="X319" s="140"/>
      <c r="Y319" s="140" t="str">
        <f t="shared" ref="Y319:Y322" si="309">Y345</f>
        <v>Asfalt, AC surf zonder PR, 25 mm</v>
      </c>
    </row>
    <row r="320" spans="1:25" s="205" customFormat="1" ht="14.25" customHeight="1" x14ac:dyDescent="0.2">
      <c r="A320" s="196">
        <f t="shared" ref="A320" si="310">C320</f>
        <v>9</v>
      </c>
      <c r="B320" s="197" t="s">
        <v>53</v>
      </c>
      <c r="C320" s="210">
        <f t="shared" si="259"/>
        <v>9</v>
      </c>
      <c r="D320" s="199">
        <f t="shared" ref="D320" si="311">F320</f>
        <v>46</v>
      </c>
      <c r="E320" s="231" t="s">
        <v>93</v>
      </c>
      <c r="F320" s="213">
        <f t="shared" si="245"/>
        <v>46</v>
      </c>
      <c r="G320" s="201"/>
      <c r="H320" s="231" t="str">
        <f>H346</f>
        <v>Duurzaam asfalt. AC 11 surf 40/60 Lynpave</v>
      </c>
      <c r="I320" s="321">
        <v>316</v>
      </c>
      <c r="J320" s="202" t="s">
        <v>49</v>
      </c>
      <c r="K320" s="292">
        <f t="shared" si="306"/>
        <v>0.4019630866153262</v>
      </c>
      <c r="L320" s="331">
        <f>L346</f>
        <v>0.39692316417233764</v>
      </c>
      <c r="M320" s="342">
        <f t="shared" si="307"/>
        <v>0.41812499999999997</v>
      </c>
      <c r="N320" s="342">
        <f t="shared" si="285"/>
        <v>2.0906249999999998E-2</v>
      </c>
      <c r="O320" s="342">
        <f>O124</f>
        <v>2.0906249999999998E-2</v>
      </c>
      <c r="P320" s="203">
        <f t="shared" si="294"/>
        <v>20</v>
      </c>
      <c r="Q320" s="203">
        <f>'Invoer en resultaat'!$H$9</f>
        <v>100</v>
      </c>
      <c r="R320" s="203">
        <f t="shared" si="286"/>
        <v>80</v>
      </c>
      <c r="S320" s="357">
        <f t="shared" si="308"/>
        <v>4</v>
      </c>
      <c r="T320" s="354">
        <f t="shared" si="308"/>
        <v>2.5000000000000001E-2</v>
      </c>
      <c r="U320" s="190"/>
      <c r="V320" s="174"/>
      <c r="W320" s="140"/>
      <c r="X320" s="140"/>
      <c r="Y320" s="140" t="str">
        <f t="shared" si="309"/>
        <v>Duurzaam asfalt o.b.v. AC 11 surf 40/60 Lynpave, 25 mm</v>
      </c>
    </row>
    <row r="321" spans="1:25" s="205" customFormat="1" ht="14.25" customHeight="1" x14ac:dyDescent="0.2">
      <c r="A321" s="196">
        <f t="shared" ref="A321:A404" si="312">C321</f>
        <v>9</v>
      </c>
      <c r="B321" s="197" t="s">
        <v>53</v>
      </c>
      <c r="C321" s="210">
        <f t="shared" si="259"/>
        <v>9</v>
      </c>
      <c r="D321" s="199">
        <f t="shared" si="276"/>
        <v>46</v>
      </c>
      <c r="E321" s="231" t="s">
        <v>93</v>
      </c>
      <c r="F321" s="213">
        <f t="shared" si="245"/>
        <v>46</v>
      </c>
      <c r="G321" s="201"/>
      <c r="H321" s="231" t="s">
        <v>3</v>
      </c>
      <c r="I321" s="321">
        <v>317</v>
      </c>
      <c r="J321" s="202" t="s">
        <v>49</v>
      </c>
      <c r="K321" s="292">
        <f t="shared" ref="K321:L321" si="313">K347</f>
        <v>0.83510257567040869</v>
      </c>
      <c r="L321" s="331">
        <f t="shared" si="313"/>
        <v>0.83371291190372543</v>
      </c>
      <c r="M321" s="342">
        <f t="shared" si="307"/>
        <v>0.57645050000000009</v>
      </c>
      <c r="N321" s="342">
        <f t="shared" si="285"/>
        <v>5.7645050000000005E-3</v>
      </c>
      <c r="O321" s="342">
        <f>O125</f>
        <v>5.7645050000000005E-3</v>
      </c>
      <c r="P321" s="203">
        <f t="shared" si="294"/>
        <v>100</v>
      </c>
      <c r="Q321" s="203">
        <f>'Invoer en resultaat'!$H$9</f>
        <v>100</v>
      </c>
      <c r="R321" s="203">
        <f t="shared" si="286"/>
        <v>0</v>
      </c>
      <c r="S321" s="357">
        <f t="shared" si="308"/>
        <v>0</v>
      </c>
      <c r="T321" s="354">
        <f t="shared" si="308"/>
        <v>0.25</v>
      </c>
      <c r="U321" s="190">
        <v>0</v>
      </c>
      <c r="V321" s="174"/>
      <c r="W321" s="140"/>
      <c r="X321" s="140"/>
      <c r="Y321" s="140" t="str">
        <f t="shared" si="309"/>
        <v xml:space="preserve">Verhardingen, Grind </v>
      </c>
    </row>
    <row r="322" spans="1:25" s="220" customFormat="1" ht="14.25" customHeight="1" x14ac:dyDescent="0.2">
      <c r="A322" s="208">
        <f t="shared" si="312"/>
        <v>9</v>
      </c>
      <c r="B322" s="209" t="s">
        <v>53</v>
      </c>
      <c r="C322" s="210">
        <f t="shared" si="259"/>
        <v>9</v>
      </c>
      <c r="D322" s="211">
        <f t="shared" si="276"/>
        <v>46</v>
      </c>
      <c r="E322" s="232" t="s">
        <v>93</v>
      </c>
      <c r="F322" s="213">
        <f t="shared" si="245"/>
        <v>46</v>
      </c>
      <c r="G322" s="214"/>
      <c r="H322" s="232" t="s">
        <v>84</v>
      </c>
      <c r="I322" s="321">
        <v>318</v>
      </c>
      <c r="J322" s="215" t="s">
        <v>49</v>
      </c>
      <c r="K322" s="296">
        <f t="shared" ref="K322:L322" si="314">K348</f>
        <v>0.53003416659558844</v>
      </c>
      <c r="L322" s="331">
        <f t="shared" si="314"/>
        <v>0.52607355597406791</v>
      </c>
      <c r="M322" s="345">
        <f t="shared" si="307"/>
        <v>1.6429124999999998</v>
      </c>
      <c r="N322" s="345">
        <f t="shared" si="285"/>
        <v>1.6429124999999999E-2</v>
      </c>
      <c r="O322" s="345">
        <f>O126</f>
        <v>1.6429124999999999E-2</v>
      </c>
      <c r="P322" s="203">
        <f t="shared" si="294"/>
        <v>100</v>
      </c>
      <c r="Q322" s="203">
        <f>'Invoer en resultaat'!$H$9</f>
        <v>100</v>
      </c>
      <c r="R322" s="203">
        <f t="shared" si="286"/>
        <v>0</v>
      </c>
      <c r="S322" s="358">
        <f t="shared" si="308"/>
        <v>0</v>
      </c>
      <c r="T322" s="359">
        <f t="shared" si="308"/>
        <v>0.25</v>
      </c>
      <c r="U322" s="217">
        <v>0</v>
      </c>
      <c r="V322" s="218"/>
      <c r="W322" s="229"/>
      <c r="X322" s="229"/>
      <c r="Y322" s="229" t="str">
        <f t="shared" si="309"/>
        <v>Bekleding, waterbouw steenbreuksteen natuursteen</v>
      </c>
    </row>
    <row r="323" spans="1:25" s="205" customFormat="1" ht="14.25" customHeight="1" x14ac:dyDescent="0.2">
      <c r="A323" s="196">
        <f t="shared" si="312"/>
        <v>9</v>
      </c>
      <c r="B323" s="197" t="s">
        <v>53</v>
      </c>
      <c r="C323" s="210">
        <f t="shared" si="259"/>
        <v>9</v>
      </c>
      <c r="D323" s="199">
        <f t="shared" si="276"/>
        <v>47</v>
      </c>
      <c r="E323" s="231" t="s">
        <v>14</v>
      </c>
      <c r="F323" s="213">
        <f t="shared" si="245"/>
        <v>47</v>
      </c>
      <c r="G323" s="201"/>
      <c r="H323" s="231" t="s">
        <v>16</v>
      </c>
      <c r="I323" s="321">
        <v>319</v>
      </c>
      <c r="J323" s="202" t="s">
        <v>49</v>
      </c>
      <c r="K323" s="292">
        <f>1-(N323/AVERAGE($N$349:$N$353))</f>
        <v>0.14168579604083242</v>
      </c>
      <c r="L323" s="331">
        <f>IF(K323&gt;-1,1-(O323/AVERAGE($O$323:$O$327)),1-(O323/AVERAGE($N$323:$N$327)))</f>
        <v>0.14168579604083242</v>
      </c>
      <c r="M323" s="342">
        <f>T323*'MKI-waarden'!$D$68</f>
        <v>2.1642399999999999</v>
      </c>
      <c r="N323" s="342">
        <f t="shared" si="285"/>
        <v>2.1642399999999999E-2</v>
      </c>
      <c r="O323" s="342">
        <f>IF(K323&lt;-1,(2*AVERAGE($N$323:$N$327)),N323)</f>
        <v>2.1642399999999999E-2</v>
      </c>
      <c r="P323" s="203">
        <v>100</v>
      </c>
      <c r="Q323" s="203">
        <f>'Invoer en resultaat'!$H$9</f>
        <v>100</v>
      </c>
      <c r="R323" s="203">
        <f t="shared" si="286"/>
        <v>0</v>
      </c>
      <c r="S323" s="357">
        <f>IF(Q323&lt;P323,0,ROUNDDOWN(Q323/P323-0.01,0))</f>
        <v>0</v>
      </c>
      <c r="T323" s="354">
        <v>0.5</v>
      </c>
      <c r="U323" s="190">
        <v>0</v>
      </c>
      <c r="W323" s="140" t="s">
        <v>148</v>
      </c>
      <c r="X323" s="140"/>
      <c r="Y323" s="140" t="str">
        <f>'MKI-waarden'!$A$68</f>
        <v>Ophoogmateriaal, zand</v>
      </c>
    </row>
    <row r="324" spans="1:25" s="205" customFormat="1" ht="14.25" customHeight="1" x14ac:dyDescent="0.2">
      <c r="A324" s="196">
        <f t="shared" si="312"/>
        <v>9</v>
      </c>
      <c r="B324" s="197" t="s">
        <v>53</v>
      </c>
      <c r="C324" s="210">
        <f t="shared" si="259"/>
        <v>9</v>
      </c>
      <c r="D324" s="199">
        <f t="shared" si="276"/>
        <v>47</v>
      </c>
      <c r="E324" s="231" t="s">
        <v>14</v>
      </c>
      <c r="F324" s="213">
        <f t="shared" si="245"/>
        <v>47</v>
      </c>
      <c r="G324" s="201"/>
      <c r="H324" s="231" t="s">
        <v>21</v>
      </c>
      <c r="I324" s="321">
        <v>320</v>
      </c>
      <c r="J324" s="202" t="s">
        <v>49</v>
      </c>
      <c r="K324" s="292">
        <f>1-(N324/AVERAGE($N$349:$N$353))</f>
        <v>0.82817579301269928</v>
      </c>
      <c r="L324" s="331">
        <f>IF(K324&gt;-1,1-(O324/AVERAGE($O$323:$O$327)),1-(O324/AVERAGE($N$323:$N$327)))</f>
        <v>0.82817579301269928</v>
      </c>
      <c r="M324" s="342">
        <f>T324*'MKI-waarden'!$D$67</f>
        <v>0.43325488499999992</v>
      </c>
      <c r="N324" s="342">
        <f t="shared" si="285"/>
        <v>4.3325488499999995E-3</v>
      </c>
      <c r="O324" s="342">
        <f>IF(K324&lt;-1,(2*AVERAGE($N$323:$N$327)),N324)</f>
        <v>4.3325488499999995E-3</v>
      </c>
      <c r="P324" s="203">
        <v>100</v>
      </c>
      <c r="Q324" s="203">
        <f>'Invoer en resultaat'!$H$9</f>
        <v>100</v>
      </c>
      <c r="R324" s="203">
        <f t="shared" si="286"/>
        <v>0</v>
      </c>
      <c r="S324" s="357">
        <f>IF(Q324&lt;P324,0,ROUNDDOWN(Q324/P324-0.01,0))</f>
        <v>0</v>
      </c>
      <c r="T324" s="354">
        <v>0.35</v>
      </c>
      <c r="U324" s="190">
        <v>0</v>
      </c>
      <c r="W324" s="140" t="s">
        <v>148</v>
      </c>
      <c r="X324" s="140"/>
      <c r="Y324" s="140" t="str">
        <f>'MKI-waarden'!$A$67</f>
        <v>Funderingslaag Menggranulaat 300mm</v>
      </c>
    </row>
    <row r="325" spans="1:25" s="205" customFormat="1" ht="14.25" customHeight="1" x14ac:dyDescent="0.2">
      <c r="A325" s="196">
        <f t="shared" si="312"/>
        <v>9</v>
      </c>
      <c r="B325" s="197" t="s">
        <v>53</v>
      </c>
      <c r="C325" s="210">
        <f t="shared" si="259"/>
        <v>9</v>
      </c>
      <c r="D325" s="199">
        <f t="shared" si="276"/>
        <v>47</v>
      </c>
      <c r="E325" s="231" t="s">
        <v>14</v>
      </c>
      <c r="F325" s="213">
        <f t="shared" si="245"/>
        <v>47</v>
      </c>
      <c r="G325" s="201"/>
      <c r="H325" s="231" t="s">
        <v>85</v>
      </c>
      <c r="I325" s="321">
        <v>321</v>
      </c>
      <c r="J325" s="202" t="s">
        <v>49</v>
      </c>
      <c r="K325" s="292">
        <f>1-(N325/AVERAGE($N$349:$N$353))</f>
        <v>-0.90101549384522572</v>
      </c>
      <c r="L325" s="331">
        <f>IF(K325&gt;-1,1-(O325/AVERAGE($O$323:$O$327)),1-(O325/AVERAGE($N$323:$N$327)))</f>
        <v>-0.90101549384522572</v>
      </c>
      <c r="M325" s="342">
        <f>T325*'MKI-waarden'!$D$70</f>
        <v>4.7934121950000002</v>
      </c>
      <c r="N325" s="342">
        <f t="shared" si="285"/>
        <v>4.7934121949999998E-2</v>
      </c>
      <c r="O325" s="342">
        <f>IF(K325&lt;-1,(2*AVERAGE($N$323:$N$327)),N325)</f>
        <v>4.7934121949999998E-2</v>
      </c>
      <c r="P325" s="203">
        <v>100</v>
      </c>
      <c r="Q325" s="203">
        <f>'Invoer en resultaat'!$H$9</f>
        <v>100</v>
      </c>
      <c r="R325" s="203">
        <f t="shared" si="286"/>
        <v>0</v>
      </c>
      <c r="S325" s="357">
        <f>IF(Q325&lt;P325,0,ROUNDDOWN(Q325/P325-0.01,0))</f>
        <v>0</v>
      </c>
      <c r="T325" s="354">
        <v>0.5</v>
      </c>
      <c r="U325" s="190">
        <v>0</v>
      </c>
      <c r="W325" s="140" t="s">
        <v>148</v>
      </c>
      <c r="X325" s="140"/>
      <c r="Y325" s="140" t="str">
        <f>'MKI-waarden'!$A$70</f>
        <v>Grondwerken, lichte ophoogmaterialen, BIMS (yali)</v>
      </c>
    </row>
    <row r="326" spans="1:25" s="205" customFormat="1" ht="14.25" customHeight="1" x14ac:dyDescent="0.2">
      <c r="A326" s="196">
        <f t="shared" si="312"/>
        <v>9</v>
      </c>
      <c r="B326" s="197" t="s">
        <v>53</v>
      </c>
      <c r="C326" s="210">
        <f t="shared" si="259"/>
        <v>9</v>
      </c>
      <c r="D326" s="199">
        <f t="shared" si="276"/>
        <v>47</v>
      </c>
      <c r="E326" s="231" t="s">
        <v>14</v>
      </c>
      <c r="F326" s="213">
        <f t="shared" si="245"/>
        <v>47</v>
      </c>
      <c r="G326" s="201"/>
      <c r="H326" s="231" t="s">
        <v>86</v>
      </c>
      <c r="I326" s="321">
        <v>322</v>
      </c>
      <c r="J326" s="202" t="s">
        <v>49</v>
      </c>
      <c r="K326" s="292">
        <f>1-(N326/AVERAGE($N$349:$N$353))</f>
        <v>0.76035019041849572</v>
      </c>
      <c r="L326" s="331">
        <f>IF(K326&gt;-1,1-(O326/AVERAGE($O$323:$O$327)),1-(O326/AVERAGE($N$323:$N$327)))</f>
        <v>0.76035019041849572</v>
      </c>
      <c r="M326" s="342">
        <f>T326*'MKI-waarden'!$D$108</f>
        <v>0.60427719999999996</v>
      </c>
      <c r="N326" s="342">
        <f t="shared" si="285"/>
        <v>6.0427719999999992E-3</v>
      </c>
      <c r="O326" s="342">
        <f>IF(K326&lt;-1,(2*AVERAGE($N$323:$N$327)),N326)</f>
        <v>6.0427719999999992E-3</v>
      </c>
      <c r="P326" s="203">
        <v>100</v>
      </c>
      <c r="Q326" s="203">
        <f>'Invoer en resultaat'!$H$9</f>
        <v>100</v>
      </c>
      <c r="R326" s="203">
        <f t="shared" si="286"/>
        <v>0</v>
      </c>
      <c r="S326" s="357">
        <f>IF(Q326&lt;P326,0,ROUNDDOWN(Q326/P326-0.01,0))</f>
        <v>0</v>
      </c>
      <c r="T326" s="354">
        <v>0.5</v>
      </c>
      <c r="U326" s="190">
        <v>0</v>
      </c>
      <c r="W326" s="140" t="s">
        <v>148</v>
      </c>
      <c r="X326" s="140"/>
      <c r="Y326" s="140" t="str">
        <f>'MKI-waarden'!$A$108</f>
        <v xml:space="preserve">Schuimbeton </v>
      </c>
    </row>
    <row r="327" spans="1:25" s="220" customFormat="1" ht="14.25" customHeight="1" x14ac:dyDescent="0.2">
      <c r="A327" s="208">
        <f>C327</f>
        <v>9</v>
      </c>
      <c r="B327" s="209" t="s">
        <v>53</v>
      </c>
      <c r="C327" s="210">
        <f>IF(B327=B326,C326,C326+1)</f>
        <v>9</v>
      </c>
      <c r="D327" s="211">
        <f>F327</f>
        <v>47</v>
      </c>
      <c r="E327" s="232" t="s">
        <v>14</v>
      </c>
      <c r="F327" s="213">
        <f>IF(E327=E326,F326,F326+1)</f>
        <v>47</v>
      </c>
      <c r="G327" s="214"/>
      <c r="H327" s="232" t="s">
        <v>136</v>
      </c>
      <c r="I327" s="321">
        <v>323</v>
      </c>
      <c r="J327" s="215" t="s">
        <v>49</v>
      </c>
      <c r="K327" s="296">
        <f>1-(N327/AVERAGE($N$349:$N$353))</f>
        <v>-0.82919628562680137</v>
      </c>
      <c r="L327" s="332">
        <f>IF(K327&gt;-1,1-(O327/AVERAGE($O$323:$O$327)),1-(O327/AVERAGE($N$323:$N$327)))</f>
        <v>-0.82919628562680137</v>
      </c>
      <c r="M327" s="345">
        <f>T327*'MKI-waarden'!$D$45</f>
        <v>2.3061600000000002</v>
      </c>
      <c r="N327" s="345">
        <f>IFERROR(IF(Q327&lt;P327,M327/Q327,M327/P327),"")</f>
        <v>4.6123200000000003E-2</v>
      </c>
      <c r="O327" s="345">
        <f>IF(K327&lt;-1,(2*AVERAGE($N$323:$N$327)),N327)</f>
        <v>4.6123200000000003E-2</v>
      </c>
      <c r="P327" s="216">
        <v>50</v>
      </c>
      <c r="Q327" s="203">
        <f>'Invoer en resultaat'!$H$9</f>
        <v>100</v>
      </c>
      <c r="R327" s="203">
        <f>Q327-P327</f>
        <v>50</v>
      </c>
      <c r="S327" s="358">
        <f>IF(Q327&lt;P327,0,ROUNDDOWN(Q327/P327-0.01,0))</f>
        <v>1</v>
      </c>
      <c r="T327" s="359">
        <v>0.5</v>
      </c>
      <c r="U327" s="217">
        <v>0</v>
      </c>
      <c r="W327" s="229" t="s">
        <v>148</v>
      </c>
      <c r="X327" s="229"/>
      <c r="Y327" s="229" t="str">
        <f>'MKI-waarden'!$A$45</f>
        <v>Ophoogmateriaal, EPS</v>
      </c>
    </row>
    <row r="328" spans="1:25" s="220" customFormat="1" ht="14.25" customHeight="1" x14ac:dyDescent="0.2">
      <c r="A328" s="208">
        <f>C328</f>
        <v>9</v>
      </c>
      <c r="B328" s="209" t="str">
        <f>B327</f>
        <v>Sluis</v>
      </c>
      <c r="C328" s="210">
        <f>IF(B328=B327,C327,C327+1)</f>
        <v>9</v>
      </c>
      <c r="D328" s="211">
        <f>F328</f>
        <v>47</v>
      </c>
      <c r="E328" s="232" t="str">
        <f>E327</f>
        <v>wegfundering</v>
      </c>
      <c r="F328" s="213">
        <f>IF(E328=E327,F327,F327+1)</f>
        <v>47</v>
      </c>
      <c r="G328" s="214"/>
      <c r="H328" s="232" t="s">
        <v>670</v>
      </c>
      <c r="I328" s="321">
        <v>324</v>
      </c>
      <c r="J328" s="215" t="s">
        <v>49</v>
      </c>
      <c r="K328" s="296"/>
      <c r="L328" s="332"/>
      <c r="M328" s="345"/>
      <c r="N328" s="345"/>
      <c r="O328" s="345"/>
      <c r="P328" s="216">
        <v>100</v>
      </c>
      <c r="Q328" s="203">
        <f>'Invoer en resultaat'!$H$9</f>
        <v>100</v>
      </c>
      <c r="R328" s="203">
        <f>Q328-P328</f>
        <v>0</v>
      </c>
      <c r="S328" s="358"/>
      <c r="T328" s="359"/>
      <c r="U328" s="217"/>
      <c r="V328" s="220" t="s">
        <v>668</v>
      </c>
      <c r="W328" s="229"/>
      <c r="X328" s="229"/>
      <c r="Y328" s="229"/>
    </row>
    <row r="329" spans="1:25" s="205" customFormat="1" ht="14.25" customHeight="1" x14ac:dyDescent="0.2">
      <c r="A329" s="196">
        <f t="shared" si="312"/>
        <v>9</v>
      </c>
      <c r="B329" s="197" t="s">
        <v>53</v>
      </c>
      <c r="C329" s="198">
        <f>IF(B329=B327,C327,C327+1)</f>
        <v>9</v>
      </c>
      <c r="D329" s="199">
        <f t="shared" si="276"/>
        <v>48</v>
      </c>
      <c r="E329" s="175" t="s">
        <v>87</v>
      </c>
      <c r="F329" s="200">
        <f>IF(E329=E327,F327,F327+1)</f>
        <v>48</v>
      </c>
      <c r="G329" s="201"/>
      <c r="H329" s="175" t="s">
        <v>359</v>
      </c>
      <c r="I329" s="321">
        <v>325</v>
      </c>
      <c r="J329" s="202" t="s">
        <v>49</v>
      </c>
      <c r="K329" s="292">
        <f>K135</f>
        <v>0.33435115679172756</v>
      </c>
      <c r="L329" s="331">
        <f>L135</f>
        <v>0.33435115679172756</v>
      </c>
      <c r="M329" s="342">
        <f>M135</f>
        <v>0.27091999999999999</v>
      </c>
      <c r="N329" s="342">
        <f t="shared" si="285"/>
        <v>5.4184000000000003E-3</v>
      </c>
      <c r="O329" s="342">
        <f t="shared" ref="O329:O334" si="315">IF(K329&lt;-1,(2*AVERAGE($N$135:$N$139)),N329)</f>
        <v>5.4184000000000003E-3</v>
      </c>
      <c r="P329" s="203">
        <v>50</v>
      </c>
      <c r="Q329" s="203">
        <f>'Invoer en resultaat'!$H$9</f>
        <v>100</v>
      </c>
      <c r="R329" s="203">
        <f t="shared" si="286"/>
        <v>50</v>
      </c>
      <c r="S329" s="357">
        <f t="shared" ref="S329" si="316">IF(Q329&lt;P329,0,ROUNDDOWN(Q329/P329-0.01,0))</f>
        <v>1</v>
      </c>
      <c r="T329" s="354">
        <v>0.05</v>
      </c>
      <c r="U329" s="190">
        <v>0</v>
      </c>
      <c r="V329" s="140"/>
      <c r="W329" s="140"/>
      <c r="X329" s="140" t="s">
        <v>267</v>
      </c>
      <c r="Y329" s="140" t="str">
        <f>'MKI-waarden'!$A$14</f>
        <v>Kokosvezeldoek</v>
      </c>
    </row>
    <row r="330" spans="1:25" s="205" customFormat="1" ht="14.25" customHeight="1" x14ac:dyDescent="0.2">
      <c r="A330" s="196">
        <f t="shared" ref="A330:A332" si="317">C330</f>
        <v>9</v>
      </c>
      <c r="B330" s="197" t="s">
        <v>53</v>
      </c>
      <c r="C330" s="198">
        <f t="shared" ref="C330" si="318">IF(B330=B329,C329,C329+1)</f>
        <v>9</v>
      </c>
      <c r="D330" s="199">
        <f t="shared" ref="D330:D332" si="319">F330</f>
        <v>48</v>
      </c>
      <c r="E330" s="175" t="s">
        <v>87</v>
      </c>
      <c r="F330" s="200">
        <f t="shared" ref="F330" si="320">IF(E330=E329,F329,F329+1)</f>
        <v>48</v>
      </c>
      <c r="G330" s="201"/>
      <c r="H330" s="175" t="s">
        <v>368</v>
      </c>
      <c r="I330" s="321">
        <v>326</v>
      </c>
      <c r="J330" s="202" t="s">
        <v>49</v>
      </c>
      <c r="K330" s="292">
        <f>$K$137</f>
        <v>0.29183225953818426</v>
      </c>
      <c r="L330" s="331">
        <f>$L$137</f>
        <v>0.29183225953818426</v>
      </c>
      <c r="M330" s="342">
        <f>$M$136</f>
        <v>0.41639166666666677</v>
      </c>
      <c r="N330" s="342">
        <f t="shared" si="285"/>
        <v>8.3278333333333347E-3</v>
      </c>
      <c r="O330" s="342">
        <f t="shared" si="315"/>
        <v>8.3278333333333347E-3</v>
      </c>
      <c r="P330" s="203">
        <v>50</v>
      </c>
      <c r="Q330" s="203">
        <f>'Invoer en resultaat'!$H$9</f>
        <v>100</v>
      </c>
      <c r="R330" s="203">
        <f t="shared" si="286"/>
        <v>50</v>
      </c>
      <c r="S330" s="357">
        <f>S329</f>
        <v>1</v>
      </c>
      <c r="T330" s="354">
        <f>T329</f>
        <v>0.05</v>
      </c>
      <c r="U330" s="190"/>
      <c r="V330" s="140" t="s">
        <v>581</v>
      </c>
      <c r="W330" s="140"/>
      <c r="X330" s="184" t="s">
        <v>571</v>
      </c>
      <c r="Y330" s="140" t="s">
        <v>662</v>
      </c>
    </row>
    <row r="331" spans="1:25" s="205" customFormat="1" ht="14.25" customHeight="1" x14ac:dyDescent="0.2">
      <c r="A331" s="196">
        <f t="shared" ref="A331" si="321">C331</f>
        <v>9</v>
      </c>
      <c r="B331" s="197" t="s">
        <v>53</v>
      </c>
      <c r="C331" s="198">
        <f t="shared" ref="C331" si="322">IF(B331=B330,C330,C330+1)</f>
        <v>9</v>
      </c>
      <c r="D331" s="199">
        <f t="shared" ref="D331" si="323">F331</f>
        <v>48</v>
      </c>
      <c r="E331" s="175" t="s">
        <v>87</v>
      </c>
      <c r="F331" s="200">
        <f t="shared" ref="F331" si="324">IF(E331=E330,F330,F330+1)</f>
        <v>48</v>
      </c>
      <c r="G331" s="201"/>
      <c r="H331" s="175" t="s">
        <v>402</v>
      </c>
      <c r="I331" s="321">
        <v>327</v>
      </c>
      <c r="J331" s="202" t="s">
        <v>49</v>
      </c>
      <c r="K331" s="292">
        <f>$K$138</f>
        <v>0.33661159136928409</v>
      </c>
      <c r="L331" s="331">
        <f>$L$138</f>
        <v>0.33661159136928409</v>
      </c>
      <c r="M331" s="342">
        <f>$M$137</f>
        <v>0.57645050000000009</v>
      </c>
      <c r="N331" s="342">
        <f t="shared" si="285"/>
        <v>5.7645050000000005E-3</v>
      </c>
      <c r="O331" s="342">
        <f t="shared" si="315"/>
        <v>5.7645050000000005E-3</v>
      </c>
      <c r="P331" s="203">
        <v>100</v>
      </c>
      <c r="Q331" s="203">
        <f>'Invoer en resultaat'!$H$9</f>
        <v>100</v>
      </c>
      <c r="R331" s="203">
        <f t="shared" si="286"/>
        <v>0</v>
      </c>
      <c r="S331" s="357">
        <f t="shared" ref="S331" si="325">IF(Q331&lt;P331,0,ROUNDDOWN(Q331/P331-0.01,0))</f>
        <v>0</v>
      </c>
      <c r="T331" s="354">
        <v>0.1</v>
      </c>
      <c r="U331" s="190"/>
      <c r="V331" s="333" t="s">
        <v>403</v>
      </c>
      <c r="W331" s="140"/>
      <c r="X331" s="140"/>
      <c r="Y331" s="140" t="str">
        <f>'MKI-waarden'!$A$110</f>
        <v xml:space="preserve">Verhardingen, Grind </v>
      </c>
    </row>
    <row r="332" spans="1:25" s="205" customFormat="1" ht="14.25" customHeight="1" x14ac:dyDescent="0.2">
      <c r="A332" s="196">
        <f t="shared" si="317"/>
        <v>9</v>
      </c>
      <c r="B332" s="197" t="s">
        <v>53</v>
      </c>
      <c r="C332" s="198">
        <f>IF(B332=B330,C330,C330+1)</f>
        <v>9</v>
      </c>
      <c r="D332" s="199">
        <f t="shared" si="319"/>
        <v>48</v>
      </c>
      <c r="E332" s="175" t="s">
        <v>87</v>
      </c>
      <c r="F332" s="200">
        <f>IF(E332=E330,F330,F330+1)</f>
        <v>48</v>
      </c>
      <c r="G332" s="201"/>
      <c r="H332" s="175" t="str">
        <f>$H$138</f>
        <v>Kunststof (geotextiel) woven (pp)</v>
      </c>
      <c r="I332" s="321">
        <v>328</v>
      </c>
      <c r="J332" s="202" t="s">
        <v>49</v>
      </c>
      <c r="K332" s="292">
        <f>K138</f>
        <v>0.33661159136928409</v>
      </c>
      <c r="L332" s="331">
        <f>L138</f>
        <v>0.33661159136928409</v>
      </c>
      <c r="M332" s="342">
        <f>M138</f>
        <v>0.27</v>
      </c>
      <c r="N332" s="342">
        <f t="shared" si="285"/>
        <v>5.4000000000000003E-3</v>
      </c>
      <c r="O332" s="342">
        <f t="shared" si="315"/>
        <v>5.4000000000000003E-3</v>
      </c>
      <c r="P332" s="203">
        <v>50</v>
      </c>
      <c r="Q332" s="203">
        <f>'Invoer en resultaat'!$H$9</f>
        <v>100</v>
      </c>
      <c r="R332" s="203">
        <f t="shared" si="286"/>
        <v>50</v>
      </c>
      <c r="S332" s="357">
        <f>IF(Q332&lt;P332,0,ROUNDDOWN(Q332/P332-0.01,0))</f>
        <v>1</v>
      </c>
      <c r="T332" s="354">
        <v>3.0000000000000001E-3</v>
      </c>
      <c r="U332" s="190"/>
      <c r="V332" s="140"/>
      <c r="W332" s="140" t="s">
        <v>362</v>
      </c>
      <c r="X332" s="140" t="s">
        <v>267</v>
      </c>
      <c r="Y332" s="229" t="str">
        <f>'MKI-waarden'!$A$90</f>
        <v xml:space="preserve">Polypropyleen weefsel gewapend </v>
      </c>
    </row>
    <row r="333" spans="1:25" s="220" customFormat="1" ht="14.25" customHeight="1" x14ac:dyDescent="0.2">
      <c r="A333" s="208">
        <f t="shared" si="312"/>
        <v>9</v>
      </c>
      <c r="B333" s="209" t="s">
        <v>53</v>
      </c>
      <c r="C333" s="210">
        <f t="shared" si="259"/>
        <v>9</v>
      </c>
      <c r="D333" s="211">
        <f t="shared" si="276"/>
        <v>48</v>
      </c>
      <c r="E333" s="212" t="s">
        <v>87</v>
      </c>
      <c r="F333" s="213">
        <f t="shared" ref="F333:F408" si="326">IF(E333=E332,F332,F332+1)</f>
        <v>48</v>
      </c>
      <c r="G333" s="214"/>
      <c r="H333" s="212" t="s">
        <v>24</v>
      </c>
      <c r="I333" s="321">
        <v>329</v>
      </c>
      <c r="J333" s="215" t="s">
        <v>49</v>
      </c>
      <c r="K333" s="296">
        <f>K139</f>
        <v>-0.93972313689515308</v>
      </c>
      <c r="L333" s="331">
        <f>L139</f>
        <v>-0.93972313689515308</v>
      </c>
      <c r="M333" s="345">
        <f>'MKI-waarden'!D$89</f>
        <v>0.78947000000000012</v>
      </c>
      <c r="N333" s="345">
        <f t="shared" si="285"/>
        <v>1.5789400000000002E-2</v>
      </c>
      <c r="O333" s="345">
        <f t="shared" si="315"/>
        <v>1.5789400000000002E-2</v>
      </c>
      <c r="P333" s="216">
        <v>50</v>
      </c>
      <c r="Q333" s="216">
        <f>'Invoer en resultaat'!$H$9</f>
        <v>100</v>
      </c>
      <c r="R333" s="216">
        <f t="shared" si="286"/>
        <v>50</v>
      </c>
      <c r="S333" s="358">
        <f>IF(Q333&lt;P333,0,ROUNDDOWN(Q333/P333-0.01,0))</f>
        <v>1</v>
      </c>
      <c r="T333" s="359">
        <v>2E-3</v>
      </c>
      <c r="U333" s="217">
        <v>0</v>
      </c>
      <c r="W333" s="229" t="s">
        <v>363</v>
      </c>
      <c r="X333" s="229"/>
      <c r="Y333" s="229" t="str">
        <f>'MKI-waarden'!A$89</f>
        <v>Polyester vlies</v>
      </c>
    </row>
    <row r="334" spans="1:25" s="205" customFormat="1" ht="14.25" customHeight="1" x14ac:dyDescent="0.2">
      <c r="A334" s="196">
        <f t="shared" si="312"/>
        <v>10</v>
      </c>
      <c r="B334" s="197" t="s">
        <v>82</v>
      </c>
      <c r="C334" s="210">
        <f t="shared" si="259"/>
        <v>10</v>
      </c>
      <c r="D334" s="199">
        <f t="shared" si="276"/>
        <v>49</v>
      </c>
      <c r="E334" s="205" t="s">
        <v>81</v>
      </c>
      <c r="F334" s="213">
        <f t="shared" si="326"/>
        <v>49</v>
      </c>
      <c r="G334" s="201"/>
      <c r="H334" s="205" t="s">
        <v>271</v>
      </c>
      <c r="I334" s="321">
        <v>330</v>
      </c>
      <c r="J334" s="202" t="s">
        <v>48</v>
      </c>
      <c r="K334" s="296">
        <f>1-(N334/AVERAGE($N$334:$N$336))</f>
        <v>0.98799745617727941</v>
      </c>
      <c r="L334" s="332">
        <f>IF(K334&gt;-1,1-(O334/AVERAGE($O$334:$O$336)),1-(O334/AVERAGE($N$334:$N$336)))</f>
        <v>0.98799745617727941</v>
      </c>
      <c r="M334" s="342">
        <f>T334*'MKI-waarden'!D13</f>
        <v>1.34E-2</v>
      </c>
      <c r="N334" s="342">
        <f t="shared" ref="N334:N336" si="327">IFERROR(IF(Q334&lt;P334,M334/Q334,M334/P334),"")</f>
        <v>1.34E-4</v>
      </c>
      <c r="O334" s="342">
        <f t="shared" si="315"/>
        <v>1.34E-4</v>
      </c>
      <c r="P334" s="203">
        <v>100</v>
      </c>
      <c r="Q334" s="203">
        <f>'Invoer en resultaat'!$H$9</f>
        <v>100</v>
      </c>
      <c r="R334" s="203">
        <f t="shared" ref="R334:R336" si="328">Q334-P334</f>
        <v>0</v>
      </c>
      <c r="S334" s="357">
        <f>IF(Q334&lt;P334,0,ROUNDDOWN(Q334/P334-0.01,0))</f>
        <v>0</v>
      </c>
      <c r="T334" s="354">
        <v>1E-3</v>
      </c>
      <c r="U334" s="190">
        <v>0</v>
      </c>
      <c r="W334" s="140"/>
      <c r="X334" s="140"/>
      <c r="Y334" s="140" t="str">
        <f>'MKI-waarden'!$A13</f>
        <v>Basalt (o.b.v. veegsplit)</v>
      </c>
    </row>
    <row r="335" spans="1:25" s="205" customFormat="1" ht="14.25" customHeight="1" x14ac:dyDescent="0.2">
      <c r="A335" s="196">
        <f t="shared" si="312"/>
        <v>10</v>
      </c>
      <c r="B335" s="197" t="s">
        <v>82</v>
      </c>
      <c r="C335" s="210">
        <f t="shared" si="259"/>
        <v>10</v>
      </c>
      <c r="D335" s="199">
        <f t="shared" si="276"/>
        <v>49</v>
      </c>
      <c r="E335" s="205" t="s">
        <v>81</v>
      </c>
      <c r="F335" s="213">
        <f t="shared" si="326"/>
        <v>49</v>
      </c>
      <c r="G335" s="201"/>
      <c r="H335" s="205" t="s">
        <v>272</v>
      </c>
      <c r="I335" s="321">
        <v>331</v>
      </c>
      <c r="J335" s="202" t="s">
        <v>48</v>
      </c>
      <c r="K335" s="296"/>
      <c r="L335" s="332"/>
      <c r="M335" s="348" t="s">
        <v>257</v>
      </c>
      <c r="N335" s="348" t="str">
        <f t="shared" si="327"/>
        <v/>
      </c>
      <c r="O335" s="348"/>
      <c r="P335" s="203">
        <v>100</v>
      </c>
      <c r="Q335" s="203">
        <f>'Invoer en resultaat'!$H$9</f>
        <v>100</v>
      </c>
      <c r="R335" s="203">
        <f t="shared" si="328"/>
        <v>0</v>
      </c>
      <c r="S335" s="357">
        <f>IF(Q335&lt;P335,0,ROUNDDOWN(Q335/P335-0.01,0))</f>
        <v>0</v>
      </c>
      <c r="T335" s="354">
        <v>1E-3</v>
      </c>
      <c r="U335" s="190">
        <v>0</v>
      </c>
      <c r="V335" s="274" t="s">
        <v>665</v>
      </c>
      <c r="W335" s="140"/>
      <c r="X335" s="140"/>
      <c r="Y335" s="140"/>
    </row>
    <row r="336" spans="1:25" s="220" customFormat="1" ht="14.25" customHeight="1" x14ac:dyDescent="0.2">
      <c r="A336" s="208">
        <f t="shared" si="312"/>
        <v>10</v>
      </c>
      <c r="B336" s="209" t="s">
        <v>82</v>
      </c>
      <c r="C336" s="210">
        <f t="shared" si="259"/>
        <v>10</v>
      </c>
      <c r="D336" s="211">
        <f t="shared" si="276"/>
        <v>49</v>
      </c>
      <c r="E336" s="220" t="s">
        <v>81</v>
      </c>
      <c r="F336" s="213">
        <f t="shared" si="326"/>
        <v>49</v>
      </c>
      <c r="G336" s="214"/>
      <c r="H336" s="220" t="s">
        <v>96</v>
      </c>
      <c r="I336" s="321">
        <v>332</v>
      </c>
      <c r="J336" s="215" t="s">
        <v>48</v>
      </c>
      <c r="K336" s="296">
        <f>1-(N336/AVERAGE($N$334:$N$336))</f>
        <v>-0.98799745617727952</v>
      </c>
      <c r="L336" s="332">
        <f>IF(K336&gt;-1,1-(O336/AVERAGE($O$334:$O$336)),1-(O336/AVERAGE($N$334:$N$336)))</f>
        <v>-0.98799745617727952</v>
      </c>
      <c r="M336" s="345">
        <f>T336/'MKI-waarden'!N14*'MKI-waarden'!D14</f>
        <v>0.22194599999999998</v>
      </c>
      <c r="N336" s="345">
        <f t="shared" si="327"/>
        <v>2.2194599999999998E-2</v>
      </c>
      <c r="O336" s="345">
        <f>IF(K336&lt;-1,(2*AVERAGE($N$135:$N$139)),N336)</f>
        <v>2.2194599999999998E-2</v>
      </c>
      <c r="P336" s="216">
        <v>10</v>
      </c>
      <c r="Q336" s="216">
        <f>'Invoer en resultaat'!$H$9</f>
        <v>100</v>
      </c>
      <c r="R336" s="216">
        <f t="shared" si="328"/>
        <v>90</v>
      </c>
      <c r="S336" s="358">
        <f>IF(Q336&lt;P336,0,ROUNDDOWN(Q336/P336-0.01,0))</f>
        <v>9</v>
      </c>
      <c r="T336" s="359">
        <v>1E-3</v>
      </c>
      <c r="U336" s="217">
        <v>0</v>
      </c>
      <c r="W336" s="229"/>
      <c r="X336" s="229"/>
      <c r="Y336" s="229" t="str">
        <f>'MKI-waarden'!$A14</f>
        <v>Kokosvezeldoek</v>
      </c>
    </row>
    <row r="337" spans="1:25" s="205" customFormat="1" ht="14.25" customHeight="1" x14ac:dyDescent="0.2">
      <c r="A337" s="196">
        <f t="shared" si="312"/>
        <v>11</v>
      </c>
      <c r="B337" s="197" t="s">
        <v>180</v>
      </c>
      <c r="C337" s="210">
        <f t="shared" si="259"/>
        <v>11</v>
      </c>
      <c r="D337" s="199">
        <f t="shared" si="276"/>
        <v>50</v>
      </c>
      <c r="E337" s="205" t="s">
        <v>93</v>
      </c>
      <c r="F337" s="213">
        <f t="shared" si="326"/>
        <v>50</v>
      </c>
      <c r="G337" s="201"/>
      <c r="H337" s="205" t="s">
        <v>83</v>
      </c>
      <c r="I337" s="321">
        <v>333</v>
      </c>
      <c r="J337" s="202" t="s">
        <v>49</v>
      </c>
      <c r="K337" s="292">
        <f>1-(N337/AVERAGE($N$337:$N$348))</f>
        <v>-1.1002841855679293</v>
      </c>
      <c r="L337" s="331">
        <f>1-(O337/AVERAGE($N$337:$N$348))</f>
        <v>-1</v>
      </c>
      <c r="M337" s="342">
        <f>'MKI-waarden'!D19</f>
        <v>3.6711</v>
      </c>
      <c r="N337" s="342">
        <f t="shared" si="285"/>
        <v>7.3422000000000001E-2</v>
      </c>
      <c r="O337" s="342">
        <f t="shared" ref="O337:O342" si="329">IF(K337&lt;-1,(2*AVERAGE($N$337:$N$348)),N337)</f>
        <v>6.9916252766666673E-2</v>
      </c>
      <c r="P337" s="203">
        <v>50</v>
      </c>
      <c r="Q337" s="203">
        <f>'Invoer en resultaat'!$H$9</f>
        <v>100</v>
      </c>
      <c r="R337" s="203">
        <f t="shared" si="286"/>
        <v>50</v>
      </c>
      <c r="S337" s="357">
        <f t="shared" ref="S337:S357" si="330">IF(Q337&lt;P337,0,ROUNDDOWN(Q337/P337-0.01,0))</f>
        <v>1</v>
      </c>
      <c r="T337" s="481">
        <f>5.3/100</f>
        <v>5.2999999999999999E-2</v>
      </c>
      <c r="U337" s="190">
        <v>0</v>
      </c>
      <c r="V337" s="174"/>
      <c r="W337" s="140" t="s">
        <v>606</v>
      </c>
      <c r="X337" s="227"/>
      <c r="Y337" s="140" t="str">
        <f>'MKI-waarden'!$A$77</f>
        <v>Bekleding, kunststof grastegels grids (HPDE)</v>
      </c>
    </row>
    <row r="338" spans="1:25" s="205" customFormat="1" ht="14.25" customHeight="1" x14ac:dyDescent="0.2">
      <c r="A338" s="196">
        <f t="shared" si="312"/>
        <v>11</v>
      </c>
      <c r="B338" s="197" t="s">
        <v>180</v>
      </c>
      <c r="C338" s="210">
        <f t="shared" si="259"/>
        <v>11</v>
      </c>
      <c r="D338" s="199">
        <f t="shared" si="276"/>
        <v>50</v>
      </c>
      <c r="E338" s="205" t="s">
        <v>93</v>
      </c>
      <c r="F338" s="213">
        <f t="shared" si="326"/>
        <v>50</v>
      </c>
      <c r="G338" s="201"/>
      <c r="H338" s="205" t="s">
        <v>36</v>
      </c>
      <c r="I338" s="321">
        <v>334</v>
      </c>
      <c r="J338" s="202" t="s">
        <v>49</v>
      </c>
      <c r="K338" s="292">
        <f>1-(N338/AVERAGE($N$337:$N$348))</f>
        <v>-0.8527599359809892</v>
      </c>
      <c r="L338" s="331">
        <f>IF(K338&gt;-1,1-(O338/AVERAGE($O$337:$O$348)),1-(O338/AVERAGE($N$337:$N$348)))</f>
        <v>-0.86837396610828055</v>
      </c>
      <c r="M338" s="342">
        <f>T338*'MKI-waarden'!$D$21</f>
        <v>3.2384507999999999</v>
      </c>
      <c r="N338" s="342">
        <f t="shared" si="285"/>
        <v>6.4769015999999999E-2</v>
      </c>
      <c r="O338" s="342">
        <f t="shared" si="329"/>
        <v>6.4769015999999999E-2</v>
      </c>
      <c r="P338" s="203">
        <v>50</v>
      </c>
      <c r="Q338" s="203">
        <f>'Invoer en resultaat'!$H$9</f>
        <v>100</v>
      </c>
      <c r="R338" s="203">
        <f t="shared" si="286"/>
        <v>50</v>
      </c>
      <c r="S338" s="357">
        <f t="shared" si="330"/>
        <v>1</v>
      </c>
      <c r="T338" s="354">
        <v>0.12</v>
      </c>
      <c r="U338" s="190">
        <v>0</v>
      </c>
      <c r="V338" s="174"/>
      <c r="W338" s="140"/>
      <c r="X338" s="140"/>
      <c r="Y338" s="140" t="str">
        <f>'MKI-waarden'!$A$21</f>
        <v>Betonmortel C30/37 (CEMIII) 2386 kgm3</v>
      </c>
    </row>
    <row r="339" spans="1:25" s="205" customFormat="1" ht="14.25" customHeight="1" x14ac:dyDescent="0.2">
      <c r="A339" s="196">
        <f t="shared" si="312"/>
        <v>11</v>
      </c>
      <c r="B339" s="197" t="s">
        <v>180</v>
      </c>
      <c r="C339" s="210">
        <f t="shared" si="259"/>
        <v>11</v>
      </c>
      <c r="D339" s="199">
        <f t="shared" si="276"/>
        <v>50</v>
      </c>
      <c r="E339" s="205" t="s">
        <v>93</v>
      </c>
      <c r="F339" s="213">
        <f t="shared" si="326"/>
        <v>50</v>
      </c>
      <c r="G339" s="201"/>
      <c r="H339" s="205" t="s">
        <v>45</v>
      </c>
      <c r="I339" s="321">
        <v>335</v>
      </c>
      <c r="J339" s="202" t="s">
        <v>49</v>
      </c>
      <c r="K339" s="292">
        <f>1-(N339/AVERAGE($N$337:$N$348))</f>
        <v>-0.54396661331749097</v>
      </c>
      <c r="L339" s="331">
        <f>1-(O339/AVERAGE($N$337:$N$348))</f>
        <v>-0.54396661331749097</v>
      </c>
      <c r="M339" s="342">
        <f>T339*'MKI-waarden'!$D$21</f>
        <v>2.698709</v>
      </c>
      <c r="N339" s="342">
        <f t="shared" si="285"/>
        <v>5.3974180000000004E-2</v>
      </c>
      <c r="O339" s="342">
        <f t="shared" si="329"/>
        <v>5.3974180000000004E-2</v>
      </c>
      <c r="P339" s="203">
        <v>50</v>
      </c>
      <c r="Q339" s="203">
        <f>'Invoer en resultaat'!$H$9</f>
        <v>100</v>
      </c>
      <c r="R339" s="203">
        <f t="shared" si="286"/>
        <v>50</v>
      </c>
      <c r="S339" s="357">
        <f t="shared" si="330"/>
        <v>1</v>
      </c>
      <c r="T339" s="354">
        <v>0.1</v>
      </c>
      <c r="U339" s="190">
        <v>0</v>
      </c>
      <c r="V339" s="174"/>
      <c r="W339" s="140"/>
      <c r="X339" s="140"/>
      <c r="Y339" s="140" t="str">
        <f>'MKI-waarden'!$A$21</f>
        <v>Betonmortel C30/37 (CEMIII) 2386 kgm3</v>
      </c>
    </row>
    <row r="340" spans="1:25" s="205" customFormat="1" ht="14.25" customHeight="1" x14ac:dyDescent="0.2">
      <c r="A340" s="196">
        <f t="shared" si="312"/>
        <v>11</v>
      </c>
      <c r="B340" s="197" t="s">
        <v>180</v>
      </c>
      <c r="C340" s="210">
        <f t="shared" si="259"/>
        <v>11</v>
      </c>
      <c r="D340" s="199">
        <f t="shared" si="276"/>
        <v>50</v>
      </c>
      <c r="E340" s="205" t="s">
        <v>93</v>
      </c>
      <c r="F340" s="213">
        <f t="shared" si="326"/>
        <v>50</v>
      </c>
      <c r="G340" s="201"/>
      <c r="H340" s="205" t="s">
        <v>2</v>
      </c>
      <c r="I340" s="321">
        <v>336</v>
      </c>
      <c r="J340" s="202" t="s">
        <v>49</v>
      </c>
      <c r="K340" s="292">
        <f>1-(N340/AVERAGE($N$337:$N$348))</f>
        <v>-0.54396661331749097</v>
      </c>
      <c r="L340" s="331">
        <f>IF(K340&gt;-1,1-(O340/AVERAGE($O$337:$O$348)),1-(O340/AVERAGE($N$337:$N$348)))</f>
        <v>-0.55697830509023394</v>
      </c>
      <c r="M340" s="342">
        <f>T340*'MKI-waarden'!$D$21</f>
        <v>2.698709</v>
      </c>
      <c r="N340" s="342">
        <f t="shared" si="285"/>
        <v>5.3974180000000004E-2</v>
      </c>
      <c r="O340" s="342">
        <f t="shared" si="329"/>
        <v>5.3974180000000004E-2</v>
      </c>
      <c r="P340" s="203">
        <v>50</v>
      </c>
      <c r="Q340" s="203">
        <f>'Invoer en resultaat'!$H$9</f>
        <v>100</v>
      </c>
      <c r="R340" s="203">
        <f t="shared" si="286"/>
        <v>50</v>
      </c>
      <c r="S340" s="357">
        <f t="shared" si="330"/>
        <v>1</v>
      </c>
      <c r="T340" s="354">
        <v>0.1</v>
      </c>
      <c r="U340" s="190">
        <v>0</v>
      </c>
      <c r="V340" s="174"/>
      <c r="W340" s="140"/>
      <c r="X340" s="140"/>
      <c r="Y340" s="140" t="str">
        <f>'MKI-waarden'!$A$21</f>
        <v>Betonmortel C30/37 (CEMIII) 2386 kgm3</v>
      </c>
    </row>
    <row r="341" spans="1:25" s="205" customFormat="1" ht="14.25" customHeight="1" x14ac:dyDescent="0.2">
      <c r="A341" s="196">
        <f t="shared" si="312"/>
        <v>11</v>
      </c>
      <c r="B341" s="197" t="s">
        <v>180</v>
      </c>
      <c r="C341" s="210">
        <f t="shared" si="259"/>
        <v>11</v>
      </c>
      <c r="D341" s="199">
        <f t="shared" si="276"/>
        <v>50</v>
      </c>
      <c r="E341" s="205" t="s">
        <v>93</v>
      </c>
      <c r="F341" s="213">
        <f t="shared" si="326"/>
        <v>50</v>
      </c>
      <c r="G341" s="201"/>
      <c r="H341" s="205" t="s">
        <v>46</v>
      </c>
      <c r="I341" s="321">
        <v>337</v>
      </c>
      <c r="J341" s="202" t="s">
        <v>49</v>
      </c>
      <c r="K341" s="292">
        <f>1-(N341/AVERAGE($N$337:$N$348))</f>
        <v>0.99514657627415382</v>
      </c>
      <c r="L341" s="331">
        <f>IF(K341&gt;-1,1-(O341/AVERAGE($O$337:$O$348)),1-(O341/AVERAGE($N$337:$N$348)))</f>
        <v>0.99510567431874974</v>
      </c>
      <c r="M341" s="342">
        <f>T341*'MKI-waarden'!N106*'MKI-waarden'!D106</f>
        <v>8.483329999999999E-3</v>
      </c>
      <c r="N341" s="342">
        <f t="shared" si="285"/>
        <v>1.6966659999999997E-4</v>
      </c>
      <c r="O341" s="342">
        <f t="shared" si="329"/>
        <v>1.6966659999999997E-4</v>
      </c>
      <c r="P341" s="203">
        <v>50</v>
      </c>
      <c r="Q341" s="203">
        <f>'Invoer en resultaat'!$H$9</f>
        <v>100</v>
      </c>
      <c r="R341" s="203">
        <f t="shared" si="286"/>
        <v>50</v>
      </c>
      <c r="S341" s="357">
        <f t="shared" si="330"/>
        <v>1</v>
      </c>
      <c r="T341" s="354">
        <v>0.1</v>
      </c>
      <c r="U341" s="190">
        <v>0</v>
      </c>
      <c r="V341" s="174"/>
      <c r="W341" s="140"/>
      <c r="X341" s="140"/>
      <c r="Y341" s="140" t="str">
        <f>'MKI-waarden'!$A$106</f>
        <v>Straatbaksteen GWW, KNB</v>
      </c>
    </row>
    <row r="342" spans="1:25" s="205" customFormat="1" ht="14.25" customHeight="1" x14ac:dyDescent="0.2">
      <c r="A342" s="196">
        <f t="shared" si="312"/>
        <v>11</v>
      </c>
      <c r="B342" s="197" t="s">
        <v>180</v>
      </c>
      <c r="C342" s="210">
        <f t="shared" si="259"/>
        <v>11</v>
      </c>
      <c r="D342" s="199">
        <f t="shared" si="276"/>
        <v>50</v>
      </c>
      <c r="E342" s="205" t="s">
        <v>93</v>
      </c>
      <c r="F342" s="213">
        <f t="shared" si="326"/>
        <v>50</v>
      </c>
      <c r="G342" s="201"/>
      <c r="H342" s="205" t="s">
        <v>56</v>
      </c>
      <c r="I342" s="321">
        <v>338</v>
      </c>
      <c r="J342" s="202" t="s">
        <v>49</v>
      </c>
      <c r="K342" s="292">
        <f>1-(N342/AVERAGE($N$337:$N$348))</f>
        <v>-0.23517329065399251</v>
      </c>
      <c r="L342" s="331">
        <f>IF(K342&gt;-1,1-(O342/AVERAGE($O$337:$O$348)),1-(O342/AVERAGE($N$337:$N$348)))</f>
        <v>-0.24558264407218688</v>
      </c>
      <c r="M342" s="342">
        <f>T342*'MKI-waarden'!$D$21</f>
        <v>2.1589671999999998</v>
      </c>
      <c r="N342" s="342">
        <f t="shared" si="285"/>
        <v>4.3179343999999995E-2</v>
      </c>
      <c r="O342" s="342">
        <f t="shared" si="329"/>
        <v>4.3179343999999995E-2</v>
      </c>
      <c r="P342" s="203">
        <v>50</v>
      </c>
      <c r="Q342" s="203">
        <f>'Invoer en resultaat'!$H$9</f>
        <v>100</v>
      </c>
      <c r="R342" s="203">
        <f t="shared" si="286"/>
        <v>50</v>
      </c>
      <c r="S342" s="357">
        <f t="shared" si="330"/>
        <v>1</v>
      </c>
      <c r="T342" s="354">
        <v>0.08</v>
      </c>
      <c r="U342" s="190">
        <v>0</v>
      </c>
      <c r="V342" s="174"/>
      <c r="W342" s="140"/>
      <c r="X342" s="140"/>
      <c r="Y342" s="140" t="str">
        <f>'MKI-waarden'!$A$21</f>
        <v>Betonmortel C30/37 (CEMIII) 2386 kgm3</v>
      </c>
    </row>
    <row r="343" spans="1:25" s="205" customFormat="1" ht="14.25" customHeight="1" x14ac:dyDescent="0.2">
      <c r="A343" s="196">
        <f t="shared" ref="A343:A344" si="331">C343</f>
        <v>11</v>
      </c>
      <c r="B343" s="197" t="s">
        <v>180</v>
      </c>
      <c r="C343" s="210">
        <f t="shared" ref="C343:C344" si="332">IF(B343=B342,C342,C342+1)</f>
        <v>11</v>
      </c>
      <c r="D343" s="199">
        <f t="shared" ref="D343:D344" si="333">F343</f>
        <v>50</v>
      </c>
      <c r="E343" s="205" t="s">
        <v>93</v>
      </c>
      <c r="F343" s="213">
        <f t="shared" ref="F343:F344" si="334">IF(E343=E342,F342,F342+1)</f>
        <v>50</v>
      </c>
      <c r="G343" s="201"/>
      <c r="H343" s="205" t="s">
        <v>400</v>
      </c>
      <c r="I343" s="321">
        <v>339</v>
      </c>
      <c r="J343" s="202" t="s">
        <v>49</v>
      </c>
      <c r="K343" s="292">
        <f t="shared" ref="K343:K344" si="335">1-(N343/AVERAGE($N$337:$N$348))</f>
        <v>0.11757284524530121</v>
      </c>
      <c r="L343" s="331">
        <f t="shared" ref="L343:L344" si="336">IF(K343&gt;-1,1-(O343/AVERAGE($O$337:$O$348)),1-(O343/AVERAGE($N$337:$N$348)))</f>
        <v>0.11013624004248812</v>
      </c>
      <c r="M343" s="342">
        <f>'MKI-waarden'!E133</f>
        <v>1.5424000000000002</v>
      </c>
      <c r="N343" s="342">
        <f t="shared" si="285"/>
        <v>3.0848000000000004E-2</v>
      </c>
      <c r="O343" s="342">
        <f t="shared" ref="O343:O344" si="337">IF(K343&lt;-1,(2*AVERAGE($N$337:$N$348)),N343)</f>
        <v>3.0848000000000004E-2</v>
      </c>
      <c r="P343" s="203">
        <v>50</v>
      </c>
      <c r="Q343" s="203">
        <f>'Invoer en resultaat'!$H$9</f>
        <v>100</v>
      </c>
      <c r="R343" s="203">
        <f t="shared" si="286"/>
        <v>50</v>
      </c>
      <c r="S343" s="357">
        <f t="shared" si="330"/>
        <v>1</v>
      </c>
      <c r="T343" s="354">
        <f>8/100</f>
        <v>0.08</v>
      </c>
      <c r="U343" s="190"/>
      <c r="V343" s="174"/>
      <c r="W343" s="140"/>
      <c r="X343" s="140"/>
      <c r="Y343" s="140" t="str">
        <f>'MKI-waarden'!A133</f>
        <v>Biobound betontegels, 8 cm dik</v>
      </c>
    </row>
    <row r="344" spans="1:25" s="205" customFormat="1" ht="14.25" customHeight="1" x14ac:dyDescent="0.2">
      <c r="A344" s="196">
        <f t="shared" si="331"/>
        <v>11</v>
      </c>
      <c r="B344" s="197" t="s">
        <v>180</v>
      </c>
      <c r="C344" s="210">
        <f t="shared" si="332"/>
        <v>11</v>
      </c>
      <c r="D344" s="199">
        <f t="shared" si="333"/>
        <v>50</v>
      </c>
      <c r="E344" s="205" t="s">
        <v>93</v>
      </c>
      <c r="F344" s="213">
        <f t="shared" si="334"/>
        <v>50</v>
      </c>
      <c r="G344" s="201"/>
      <c r="H344" s="205" t="s">
        <v>397</v>
      </c>
      <c r="I344" s="321">
        <v>340</v>
      </c>
      <c r="J344" s="202" t="s">
        <v>49</v>
      </c>
      <c r="K344" s="292">
        <f t="shared" si="335"/>
        <v>0.11951802958539859</v>
      </c>
      <c r="L344" s="331">
        <f t="shared" si="336"/>
        <v>0.11209781731417889</v>
      </c>
      <c r="M344" s="342">
        <f>'MKI-waarden'!E131</f>
        <v>1.5389999999999999</v>
      </c>
      <c r="N344" s="342">
        <f t="shared" si="285"/>
        <v>3.0779999999999998E-2</v>
      </c>
      <c r="O344" s="342">
        <f t="shared" si="337"/>
        <v>3.0779999999999998E-2</v>
      </c>
      <c r="P344" s="203">
        <v>50</v>
      </c>
      <c r="Q344" s="203">
        <f>'Invoer en resultaat'!$H$9</f>
        <v>100</v>
      </c>
      <c r="R344" s="203">
        <f t="shared" si="286"/>
        <v>50</v>
      </c>
      <c r="S344" s="357">
        <f t="shared" si="330"/>
        <v>1</v>
      </c>
      <c r="T344" s="354">
        <f>10/100</f>
        <v>0.1</v>
      </c>
      <c r="U344" s="190"/>
      <c r="V344" s="174"/>
      <c r="W344" s="140"/>
      <c r="X344" s="140"/>
      <c r="Y344" s="140" t="str">
        <f>'MKI-waarden'!A131</f>
        <v>Biobound betonstraatstenen, 10 cm dik</v>
      </c>
    </row>
    <row r="345" spans="1:25" s="205" customFormat="1" ht="14.25" customHeight="1" x14ac:dyDescent="0.2">
      <c r="A345" s="196">
        <f t="shared" si="312"/>
        <v>11</v>
      </c>
      <c r="B345" s="197" t="s">
        <v>180</v>
      </c>
      <c r="C345" s="210">
        <f>IF(B345=B342,C342,C342+1)</f>
        <v>11</v>
      </c>
      <c r="D345" s="199">
        <f t="shared" si="276"/>
        <v>50</v>
      </c>
      <c r="E345" s="205" t="s">
        <v>93</v>
      </c>
      <c r="F345" s="213">
        <f>IF(E345=E342,F342,F342+1)</f>
        <v>50</v>
      </c>
      <c r="G345" s="201"/>
      <c r="H345" s="205" t="s">
        <v>355</v>
      </c>
      <c r="I345" s="321">
        <v>341</v>
      </c>
      <c r="J345" s="202" t="s">
        <v>49</v>
      </c>
      <c r="K345" s="292">
        <f>1-(N345/AVERAGE($N$337:$N$348))</f>
        <v>0.2768133588517171</v>
      </c>
      <c r="L345" s="331">
        <f>IF(K345&gt;-1,1-(O345/AVERAGE($O$337:$O$348)),1-(O345/AVERAGE($N$337:$N$348)))</f>
        <v>0.27071874411871599</v>
      </c>
      <c r="M345" s="342">
        <f>T345/'MKI-waarden'!$N$12*'MKI-waarden'!$D$12</f>
        <v>0.5056250000000001</v>
      </c>
      <c r="N345" s="342">
        <f t="shared" si="285"/>
        <v>2.5281250000000005E-2</v>
      </c>
      <c r="O345" s="342">
        <f>IF(K345&lt;-1,(2*AVERAGE($N$337:$N$348)),N345)</f>
        <v>2.5281250000000005E-2</v>
      </c>
      <c r="P345" s="203">
        <v>20</v>
      </c>
      <c r="Q345" s="203">
        <f>'Invoer en resultaat'!$H$9</f>
        <v>100</v>
      </c>
      <c r="R345" s="203">
        <f t="shared" si="286"/>
        <v>80</v>
      </c>
      <c r="S345" s="357">
        <f t="shared" si="330"/>
        <v>4</v>
      </c>
      <c r="T345" s="354">
        <f>25/1000</f>
        <v>2.5000000000000001E-2</v>
      </c>
      <c r="U345" s="190">
        <v>0</v>
      </c>
      <c r="V345" s="174"/>
      <c r="W345" s="140"/>
      <c r="X345" s="140"/>
      <c r="Y345" s="140" t="str">
        <f>'MKI-waarden'!$A$12</f>
        <v>Asfalt, AC surf zonder PR, 25 mm</v>
      </c>
    </row>
    <row r="346" spans="1:25" s="205" customFormat="1" ht="14.25" customHeight="1" x14ac:dyDescent="0.2">
      <c r="A346" s="196">
        <f t="shared" ref="A346" si="338">C346</f>
        <v>11</v>
      </c>
      <c r="B346" s="197" t="s">
        <v>180</v>
      </c>
      <c r="C346" s="210">
        <f t="shared" si="259"/>
        <v>11</v>
      </c>
      <c r="D346" s="199">
        <f t="shared" ref="D346" si="339">F346</f>
        <v>50</v>
      </c>
      <c r="E346" s="205" t="s">
        <v>93</v>
      </c>
      <c r="F346" s="213">
        <f t="shared" si="326"/>
        <v>50</v>
      </c>
      <c r="G346" s="201"/>
      <c r="H346" s="205" t="s">
        <v>356</v>
      </c>
      <c r="I346" s="321">
        <v>342</v>
      </c>
      <c r="J346" s="202" t="s">
        <v>49</v>
      </c>
      <c r="K346" s="292">
        <f>1-(N346/AVERAGE($N$337:$N$348))</f>
        <v>0.4019630866153262</v>
      </c>
      <c r="L346" s="331">
        <f>IF(K346&gt;-1,1-(O346/AVERAGE($O$337:$O$348)),1-(O346/AVERAGE($N$337:$N$348)))</f>
        <v>0.39692316417233764</v>
      </c>
      <c r="M346" s="342">
        <f>T346*'MKI-waarden'!D121</f>
        <v>0.41812499999999997</v>
      </c>
      <c r="N346" s="342">
        <f t="shared" si="285"/>
        <v>2.0906249999999998E-2</v>
      </c>
      <c r="O346" s="342">
        <f>IF(K346&lt;-1,(2*AVERAGE($N$337:$N$348)),N346)</f>
        <v>2.0906249999999998E-2</v>
      </c>
      <c r="P346" s="203">
        <v>20</v>
      </c>
      <c r="Q346" s="203">
        <f>'Invoer en resultaat'!$H$9</f>
        <v>100</v>
      </c>
      <c r="R346" s="203">
        <f t="shared" si="286"/>
        <v>80</v>
      </c>
      <c r="S346" s="357">
        <f t="shared" si="330"/>
        <v>4</v>
      </c>
      <c r="T346" s="354">
        <f>25/1000</f>
        <v>2.5000000000000001E-2</v>
      </c>
      <c r="U346" s="190"/>
      <c r="V346" s="174"/>
      <c r="W346" s="140"/>
      <c r="X346" s="140"/>
      <c r="Y346" s="140" t="str">
        <f>'MKI-waarden'!A122</f>
        <v>Duurzaam asfalt o.b.v. AC 11 surf 40/60 Lynpave, 25 mm</v>
      </c>
    </row>
    <row r="347" spans="1:25" s="205" customFormat="1" ht="14.25" customHeight="1" x14ac:dyDescent="0.2">
      <c r="A347" s="196">
        <f t="shared" si="312"/>
        <v>11</v>
      </c>
      <c r="B347" s="197" t="s">
        <v>180</v>
      </c>
      <c r="C347" s="210">
        <f t="shared" si="259"/>
        <v>11</v>
      </c>
      <c r="D347" s="199">
        <f t="shared" si="276"/>
        <v>50</v>
      </c>
      <c r="E347" s="205" t="s">
        <v>93</v>
      </c>
      <c r="F347" s="213">
        <f t="shared" si="326"/>
        <v>50</v>
      </c>
      <c r="G347" s="201"/>
      <c r="H347" s="205" t="s">
        <v>3</v>
      </c>
      <c r="I347" s="321">
        <v>343</v>
      </c>
      <c r="J347" s="202" t="s">
        <v>49</v>
      </c>
      <c r="K347" s="292">
        <f>1-(N347/AVERAGE($N$337:$N$348))</f>
        <v>0.83510257567040869</v>
      </c>
      <c r="L347" s="331">
        <f>IF(K347&gt;-1,1-(O347/AVERAGE($O$337:$O$348)),1-(O347/AVERAGE($N$337:$N$348)))</f>
        <v>0.83371291190372543</v>
      </c>
      <c r="M347" s="342">
        <f>T347*'MKI-waarden'!D110</f>
        <v>0.57645050000000009</v>
      </c>
      <c r="N347" s="342">
        <f t="shared" si="285"/>
        <v>5.7645050000000005E-3</v>
      </c>
      <c r="O347" s="342">
        <f>IF(K347&lt;-1,(2*AVERAGE($N$337:$N$348)),N347)</f>
        <v>5.7645050000000005E-3</v>
      </c>
      <c r="P347" s="203">
        <v>100</v>
      </c>
      <c r="Q347" s="203">
        <f>'Invoer en resultaat'!$H$9</f>
        <v>100</v>
      </c>
      <c r="R347" s="203">
        <f t="shared" si="286"/>
        <v>0</v>
      </c>
      <c r="S347" s="357">
        <f t="shared" si="330"/>
        <v>0</v>
      </c>
      <c r="T347" s="354">
        <v>0.25</v>
      </c>
      <c r="U347" s="190">
        <v>0</v>
      </c>
      <c r="V347" s="174"/>
      <c r="W347" s="140"/>
      <c r="X347" s="140"/>
      <c r="Y347" s="140" t="str">
        <f>'MKI-waarden'!$A$110</f>
        <v xml:space="preserve">Verhardingen, Grind </v>
      </c>
    </row>
    <row r="348" spans="1:25" s="220" customFormat="1" ht="14.25" customHeight="1" x14ac:dyDescent="0.2">
      <c r="A348" s="208">
        <f t="shared" si="312"/>
        <v>11</v>
      </c>
      <c r="B348" s="209" t="s">
        <v>180</v>
      </c>
      <c r="C348" s="210">
        <f t="shared" ref="C348:C424" si="340">IF(B348=B347,C347,C347+1)</f>
        <v>11</v>
      </c>
      <c r="D348" s="211">
        <f t="shared" si="276"/>
        <v>50</v>
      </c>
      <c r="E348" s="220" t="s">
        <v>93</v>
      </c>
      <c r="F348" s="213">
        <f t="shared" si="326"/>
        <v>50</v>
      </c>
      <c r="G348" s="214"/>
      <c r="H348" s="220" t="s">
        <v>84</v>
      </c>
      <c r="I348" s="321">
        <v>344</v>
      </c>
      <c r="J348" s="215" t="s">
        <v>49</v>
      </c>
      <c r="K348" s="296">
        <f>1-(N348/AVERAGE($N$337:$N$348))</f>
        <v>0.53003416659558844</v>
      </c>
      <c r="L348" s="332">
        <f>IF(K348&gt;-1,1-(O348/AVERAGE($O$337:$O$348)),1-(O348/AVERAGE($N$337:$N$348)))</f>
        <v>0.52607355597406791</v>
      </c>
      <c r="M348" s="345">
        <f>T348/'MKI-waarden'!$N$18*'MKI-waarden'!$D$18</f>
        <v>1.6429124999999998</v>
      </c>
      <c r="N348" s="345">
        <f t="shared" si="285"/>
        <v>1.6429124999999999E-2</v>
      </c>
      <c r="O348" s="345">
        <f>IF(K348&lt;-1,(2*AVERAGE($N$337:$N$348)),N348)</f>
        <v>1.6429124999999999E-2</v>
      </c>
      <c r="P348" s="216">
        <v>100</v>
      </c>
      <c r="Q348" s="203">
        <f>'Invoer en resultaat'!$H$9</f>
        <v>100</v>
      </c>
      <c r="R348" s="203">
        <f t="shared" si="286"/>
        <v>0</v>
      </c>
      <c r="S348" s="358">
        <f t="shared" si="330"/>
        <v>0</v>
      </c>
      <c r="T348" s="359">
        <v>0.25</v>
      </c>
      <c r="U348" s="217">
        <v>0</v>
      </c>
      <c r="V348" s="218"/>
      <c r="W348" s="229"/>
      <c r="X348" s="229"/>
      <c r="Y348" s="229" t="str">
        <f>'MKI-waarden'!$A$18</f>
        <v>Bekleding, waterbouw steenbreuksteen natuursteen</v>
      </c>
    </row>
    <row r="349" spans="1:25" s="205" customFormat="1" ht="14.25" customHeight="1" x14ac:dyDescent="0.2">
      <c r="A349" s="196">
        <f t="shared" si="312"/>
        <v>11</v>
      </c>
      <c r="B349" s="197" t="s">
        <v>180</v>
      </c>
      <c r="C349" s="210">
        <f t="shared" si="340"/>
        <v>11</v>
      </c>
      <c r="D349" s="199">
        <f t="shared" si="276"/>
        <v>51</v>
      </c>
      <c r="E349" s="231" t="s">
        <v>14</v>
      </c>
      <c r="F349" s="213">
        <f t="shared" si="326"/>
        <v>51</v>
      </c>
      <c r="G349" s="201"/>
      <c r="H349" s="231" t="s">
        <v>16</v>
      </c>
      <c r="I349" s="321">
        <v>345</v>
      </c>
      <c r="J349" s="202" t="s">
        <v>49</v>
      </c>
      <c r="K349" s="292">
        <f>1-(N349/AVERAGE($N$349:$N$353))</f>
        <v>0.14168579604083242</v>
      </c>
      <c r="L349" s="331">
        <f>L323</f>
        <v>0.14168579604083242</v>
      </c>
      <c r="M349" s="342">
        <f>T349*'MKI-waarden'!$D$68</f>
        <v>2.1642399999999999</v>
      </c>
      <c r="N349" s="342">
        <f t="shared" si="285"/>
        <v>2.1642399999999999E-2</v>
      </c>
      <c r="O349" s="342">
        <f>O323</f>
        <v>2.1642399999999999E-2</v>
      </c>
      <c r="P349" s="203">
        <v>100</v>
      </c>
      <c r="Q349" s="203">
        <f>'Invoer en resultaat'!$H$9</f>
        <v>100</v>
      </c>
      <c r="R349" s="203">
        <f t="shared" si="286"/>
        <v>0</v>
      </c>
      <c r="S349" s="357">
        <f t="shared" si="330"/>
        <v>0</v>
      </c>
      <c r="T349" s="354">
        <v>0.5</v>
      </c>
      <c r="U349" s="190">
        <v>0</v>
      </c>
      <c r="W349" s="140" t="s">
        <v>148</v>
      </c>
      <c r="X349" s="140"/>
      <c r="Y349" s="140" t="str">
        <f>'MKI-waarden'!$A$68</f>
        <v>Ophoogmateriaal, zand</v>
      </c>
    </row>
    <row r="350" spans="1:25" s="205" customFormat="1" ht="14.25" customHeight="1" x14ac:dyDescent="0.2">
      <c r="A350" s="196">
        <f t="shared" si="312"/>
        <v>11</v>
      </c>
      <c r="B350" s="197" t="s">
        <v>180</v>
      </c>
      <c r="C350" s="210">
        <f t="shared" si="340"/>
        <v>11</v>
      </c>
      <c r="D350" s="199">
        <f t="shared" si="276"/>
        <v>51</v>
      </c>
      <c r="E350" s="231" t="s">
        <v>14</v>
      </c>
      <c r="F350" s="213">
        <f t="shared" si="326"/>
        <v>51</v>
      </c>
      <c r="G350" s="201"/>
      <c r="H350" s="231" t="s">
        <v>21</v>
      </c>
      <c r="I350" s="321">
        <v>346</v>
      </c>
      <c r="J350" s="202" t="s">
        <v>49</v>
      </c>
      <c r="K350" s="292">
        <f>1-(N350/AVERAGE($N$349:$N$353))</f>
        <v>0.82817579301269928</v>
      </c>
      <c r="L350" s="331">
        <f>L324</f>
        <v>0.82817579301269928</v>
      </c>
      <c r="M350" s="342">
        <f>T350*'MKI-waarden'!$D$67</f>
        <v>0.43325488499999992</v>
      </c>
      <c r="N350" s="342">
        <f t="shared" si="285"/>
        <v>4.3325488499999995E-3</v>
      </c>
      <c r="O350" s="342">
        <f>O324</f>
        <v>4.3325488499999995E-3</v>
      </c>
      <c r="P350" s="203">
        <v>100</v>
      </c>
      <c r="Q350" s="203">
        <f>'Invoer en resultaat'!$H$9</f>
        <v>100</v>
      </c>
      <c r="R350" s="203">
        <f t="shared" si="286"/>
        <v>0</v>
      </c>
      <c r="S350" s="357">
        <f t="shared" si="330"/>
        <v>0</v>
      </c>
      <c r="T350" s="354">
        <v>0.35</v>
      </c>
      <c r="U350" s="190">
        <v>0</v>
      </c>
      <c r="W350" s="140" t="s">
        <v>148</v>
      </c>
      <c r="X350" s="140"/>
      <c r="Y350" s="140" t="str">
        <f>'MKI-waarden'!$A$67</f>
        <v>Funderingslaag Menggranulaat 300mm</v>
      </c>
    </row>
    <row r="351" spans="1:25" s="205" customFormat="1" ht="14.25" customHeight="1" x14ac:dyDescent="0.2">
      <c r="A351" s="196">
        <f t="shared" si="312"/>
        <v>11</v>
      </c>
      <c r="B351" s="197" t="s">
        <v>180</v>
      </c>
      <c r="C351" s="210">
        <f t="shared" si="340"/>
        <v>11</v>
      </c>
      <c r="D351" s="199">
        <f t="shared" si="276"/>
        <v>51</v>
      </c>
      <c r="E351" s="231" t="s">
        <v>14</v>
      </c>
      <c r="F351" s="213">
        <f t="shared" si="326"/>
        <v>51</v>
      </c>
      <c r="G351" s="201"/>
      <c r="H351" s="231" t="s">
        <v>85</v>
      </c>
      <c r="I351" s="321">
        <v>347</v>
      </c>
      <c r="J351" s="202" t="s">
        <v>49</v>
      </c>
      <c r="K351" s="292">
        <f>1-(N351/AVERAGE($N$349:$N$353))</f>
        <v>-0.90101549384522572</v>
      </c>
      <c r="L351" s="331">
        <f>L325</f>
        <v>-0.90101549384522572</v>
      </c>
      <c r="M351" s="342">
        <f>T351*'MKI-waarden'!$D$70</f>
        <v>4.7934121950000002</v>
      </c>
      <c r="N351" s="342">
        <f t="shared" si="285"/>
        <v>4.7934121949999998E-2</v>
      </c>
      <c r="O351" s="342">
        <f>O325</f>
        <v>4.7934121949999998E-2</v>
      </c>
      <c r="P351" s="203">
        <v>100</v>
      </c>
      <c r="Q351" s="203">
        <f>'Invoer en resultaat'!$H$9</f>
        <v>100</v>
      </c>
      <c r="R351" s="203">
        <f t="shared" si="286"/>
        <v>0</v>
      </c>
      <c r="S351" s="357">
        <f t="shared" si="330"/>
        <v>0</v>
      </c>
      <c r="T351" s="354">
        <v>0.5</v>
      </c>
      <c r="U351" s="190">
        <v>0</v>
      </c>
      <c r="W351" s="140" t="s">
        <v>148</v>
      </c>
      <c r="X351" s="140"/>
      <c r="Y351" s="140" t="str">
        <f>'MKI-waarden'!$A$70</f>
        <v>Grondwerken, lichte ophoogmaterialen, BIMS (yali)</v>
      </c>
    </row>
    <row r="352" spans="1:25" s="205" customFormat="1" ht="14.25" customHeight="1" x14ac:dyDescent="0.2">
      <c r="A352" s="196">
        <f t="shared" si="312"/>
        <v>11</v>
      </c>
      <c r="B352" s="197" t="s">
        <v>180</v>
      </c>
      <c r="C352" s="210">
        <f t="shared" si="340"/>
        <v>11</v>
      </c>
      <c r="D352" s="199">
        <f t="shared" si="276"/>
        <v>51</v>
      </c>
      <c r="E352" s="231" t="s">
        <v>14</v>
      </c>
      <c r="F352" s="213">
        <f t="shared" si="326"/>
        <v>51</v>
      </c>
      <c r="G352" s="201"/>
      <c r="H352" s="231" t="s">
        <v>86</v>
      </c>
      <c r="I352" s="321">
        <v>348</v>
      </c>
      <c r="J352" s="202" t="s">
        <v>49</v>
      </c>
      <c r="K352" s="292">
        <f>1-(N352/AVERAGE($N$349:$N$353))</f>
        <v>0.76035019041849572</v>
      </c>
      <c r="L352" s="331">
        <f>L326</f>
        <v>0.76035019041849572</v>
      </c>
      <c r="M352" s="342">
        <f>T352*'MKI-waarden'!$D$108</f>
        <v>0.60427719999999996</v>
      </c>
      <c r="N352" s="342">
        <f t="shared" si="285"/>
        <v>6.0427719999999992E-3</v>
      </c>
      <c r="O352" s="342">
        <f>O326</f>
        <v>6.0427719999999992E-3</v>
      </c>
      <c r="P352" s="203">
        <v>100</v>
      </c>
      <c r="Q352" s="203">
        <f>'Invoer en resultaat'!$H$9</f>
        <v>100</v>
      </c>
      <c r="R352" s="203">
        <f t="shared" si="286"/>
        <v>0</v>
      </c>
      <c r="S352" s="357">
        <f t="shared" si="330"/>
        <v>0</v>
      </c>
      <c r="T352" s="354">
        <v>0.5</v>
      </c>
      <c r="U352" s="190">
        <v>0</v>
      </c>
      <c r="W352" s="140" t="s">
        <v>148</v>
      </c>
      <c r="X352" s="140"/>
      <c r="Y352" s="140" t="str">
        <f>'MKI-waarden'!$A$108</f>
        <v xml:space="preserve">Schuimbeton </v>
      </c>
    </row>
    <row r="353" spans="1:25" s="220" customFormat="1" ht="14.25" customHeight="1" x14ac:dyDescent="0.2">
      <c r="A353" s="208">
        <f>C353</f>
        <v>11</v>
      </c>
      <c r="B353" s="209" t="s">
        <v>180</v>
      </c>
      <c r="C353" s="210">
        <f>IF(B353=B352,C352,C352+1)</f>
        <v>11</v>
      </c>
      <c r="D353" s="211">
        <f>F353</f>
        <v>51</v>
      </c>
      <c r="E353" s="232" t="s">
        <v>14</v>
      </c>
      <c r="F353" s="213">
        <f>IF(E353=E352,F352,F352+1)</f>
        <v>51</v>
      </c>
      <c r="G353" s="214"/>
      <c r="H353" s="232" t="s">
        <v>136</v>
      </c>
      <c r="I353" s="321">
        <v>349</v>
      </c>
      <c r="J353" s="215" t="s">
        <v>49</v>
      </c>
      <c r="K353" s="296">
        <f>1-(N353/AVERAGE($N$349:$N$353))</f>
        <v>-0.82919628562680137</v>
      </c>
      <c r="L353" s="331">
        <f>L327</f>
        <v>-0.82919628562680137</v>
      </c>
      <c r="M353" s="345">
        <f>T353*'MKI-waarden'!$D$45</f>
        <v>2.3061600000000002</v>
      </c>
      <c r="N353" s="345">
        <f>IFERROR(IF(Q353&lt;P353,M353/Q353,M353/P353),"")</f>
        <v>4.6123200000000003E-2</v>
      </c>
      <c r="O353" s="345">
        <f>O327</f>
        <v>4.6123200000000003E-2</v>
      </c>
      <c r="P353" s="216">
        <v>50</v>
      </c>
      <c r="Q353" s="203">
        <f>'Invoer en resultaat'!$H$9</f>
        <v>100</v>
      </c>
      <c r="R353" s="203">
        <f>Q353-P353</f>
        <v>50</v>
      </c>
      <c r="S353" s="358">
        <f>IF(Q353&lt;P353,0,ROUNDDOWN(Q353/P353-0.01,0))</f>
        <v>1</v>
      </c>
      <c r="T353" s="359">
        <v>0.5</v>
      </c>
      <c r="U353" s="217">
        <v>0</v>
      </c>
      <c r="W353" s="229" t="s">
        <v>148</v>
      </c>
      <c r="X353" s="229"/>
      <c r="Y353" s="229" t="str">
        <f>'MKI-waarden'!$A$45</f>
        <v>Ophoogmateriaal, EPS</v>
      </c>
    </row>
    <row r="354" spans="1:25" s="220" customFormat="1" ht="14.25" customHeight="1" x14ac:dyDescent="0.2">
      <c r="A354" s="208">
        <f>C354</f>
        <v>11</v>
      </c>
      <c r="B354" s="209" t="str">
        <f>B353</f>
        <v>Bekleding, Terrein</v>
      </c>
      <c r="C354" s="210">
        <f>IF(B354=B353,C353,C353+1)</f>
        <v>11</v>
      </c>
      <c r="D354" s="211">
        <f>F354</f>
        <v>51</v>
      </c>
      <c r="E354" s="232" t="str">
        <f>E353</f>
        <v>wegfundering</v>
      </c>
      <c r="F354" s="213">
        <f>IF(E354=E353,F353,F353+1)</f>
        <v>51</v>
      </c>
      <c r="G354" s="214"/>
      <c r="H354" s="232" t="s">
        <v>670</v>
      </c>
      <c r="I354" s="321">
        <v>350</v>
      </c>
      <c r="J354" s="215" t="s">
        <v>49</v>
      </c>
      <c r="K354" s="296"/>
      <c r="L354" s="332"/>
      <c r="M354" s="345"/>
      <c r="N354" s="345"/>
      <c r="O354" s="345"/>
      <c r="P354" s="216">
        <v>100</v>
      </c>
      <c r="Q354" s="203">
        <f>'Invoer en resultaat'!$H$9</f>
        <v>100</v>
      </c>
      <c r="R354" s="203">
        <f>Q354-P354</f>
        <v>0</v>
      </c>
      <c r="S354" s="358"/>
      <c r="T354" s="359"/>
      <c r="U354" s="217"/>
      <c r="V354" s="220" t="s">
        <v>668</v>
      </c>
      <c r="W354" s="229"/>
      <c r="X354" s="229"/>
      <c r="Y354" s="229"/>
    </row>
    <row r="355" spans="1:25" s="205" customFormat="1" ht="14.25" customHeight="1" x14ac:dyDescent="0.2">
      <c r="A355" s="196">
        <f t="shared" si="312"/>
        <v>11</v>
      </c>
      <c r="B355" s="197" t="s">
        <v>180</v>
      </c>
      <c r="C355" s="210">
        <f>IF(B355=B353,C353,C353+1)</f>
        <v>11</v>
      </c>
      <c r="D355" s="199">
        <f t="shared" si="276"/>
        <v>52</v>
      </c>
      <c r="E355" s="260" t="s">
        <v>22</v>
      </c>
      <c r="F355" s="213">
        <f>IF(E355=E353,F353,F353+1)</f>
        <v>52</v>
      </c>
      <c r="G355" s="201"/>
      <c r="H355" s="231" t="s">
        <v>354</v>
      </c>
      <c r="I355" s="321">
        <v>351</v>
      </c>
      <c r="J355" s="221" t="s">
        <v>49</v>
      </c>
      <c r="K355" s="292">
        <f>1-(N355/AVERAGE($N$355:$N$356))</f>
        <v>0.87313306450718176</v>
      </c>
      <c r="L355" s="331">
        <f t="shared" ref="L355:M357" si="341">L133</f>
        <v>0.87313306450718176</v>
      </c>
      <c r="M355" s="342">
        <f t="shared" si="341"/>
        <v>0.39473500000000006</v>
      </c>
      <c r="N355" s="342">
        <f t="shared" si="285"/>
        <v>7.894700000000001E-3</v>
      </c>
      <c r="O355" s="345">
        <f>IF(K355&lt;-1,(2*AVERAGE($N$133:$N$134)),N355)</f>
        <v>7.894700000000001E-3</v>
      </c>
      <c r="P355" s="203">
        <v>50</v>
      </c>
      <c r="Q355" s="203">
        <f>'Invoer en resultaat'!$H$9</f>
        <v>100</v>
      </c>
      <c r="R355" s="203">
        <f t="shared" si="286"/>
        <v>50</v>
      </c>
      <c r="S355" s="357">
        <f t="shared" si="330"/>
        <v>1</v>
      </c>
      <c r="T355" s="354">
        <v>5.0000000000000001E-3</v>
      </c>
      <c r="U355" s="190">
        <v>0</v>
      </c>
      <c r="V355" s="174"/>
      <c r="W355" s="229" t="s">
        <v>353</v>
      </c>
      <c r="X355" s="140"/>
      <c r="Y355" s="140" t="str">
        <f>'MKI-waarden'!$A$89</f>
        <v>Polyester vlies</v>
      </c>
    </row>
    <row r="356" spans="1:25" s="220" customFormat="1" ht="14.25" customHeight="1" x14ac:dyDescent="0.2">
      <c r="A356" s="208">
        <f t="shared" si="312"/>
        <v>11</v>
      </c>
      <c r="B356" s="209" t="s">
        <v>180</v>
      </c>
      <c r="C356" s="210">
        <f t="shared" si="340"/>
        <v>11</v>
      </c>
      <c r="D356" s="211">
        <f t="shared" si="276"/>
        <v>52</v>
      </c>
      <c r="E356" s="232" t="s">
        <v>22</v>
      </c>
      <c r="F356" s="213">
        <f t="shared" si="326"/>
        <v>52</v>
      </c>
      <c r="G356" s="214"/>
      <c r="H356" s="232" t="s">
        <v>4</v>
      </c>
      <c r="I356" s="321">
        <v>352</v>
      </c>
      <c r="J356" s="228" t="s">
        <v>49</v>
      </c>
      <c r="K356" s="296">
        <f>1-(N356/AVERAGE($N$355:$N$356))</f>
        <v>-0.87313306450718176</v>
      </c>
      <c r="L356" s="331">
        <f t="shared" si="341"/>
        <v>-0.87313306450718176</v>
      </c>
      <c r="M356" s="345">
        <f t="shared" si="341"/>
        <v>5.8280841839999997</v>
      </c>
      <c r="N356" s="345">
        <f t="shared" si="285"/>
        <v>0.11656168368</v>
      </c>
      <c r="O356" s="345">
        <f>IF(K356&lt;-1,(2*AVERAGE($N$133:$N$134)),N356)</f>
        <v>0.11656168368</v>
      </c>
      <c r="P356" s="216">
        <v>50</v>
      </c>
      <c r="Q356" s="203">
        <f>'Invoer en resultaat'!$H$9</f>
        <v>100</v>
      </c>
      <c r="R356" s="203">
        <f t="shared" si="286"/>
        <v>50</v>
      </c>
      <c r="S356" s="358">
        <f t="shared" si="330"/>
        <v>1</v>
      </c>
      <c r="T356" s="359">
        <v>5.0000000000000001E-3</v>
      </c>
      <c r="U356" s="217">
        <v>0</v>
      </c>
      <c r="V356" s="218"/>
      <c r="W356" s="229"/>
      <c r="X356" s="229"/>
      <c r="Y356" s="229" t="str">
        <f>'MKI-waarden'!$A$27</f>
        <v>Constructies in kg of m3, wapeningstaal</v>
      </c>
    </row>
    <row r="357" spans="1:25" s="205" customFormat="1" ht="14.25" customHeight="1" x14ac:dyDescent="0.2">
      <c r="A357" s="196">
        <f t="shared" si="312"/>
        <v>11</v>
      </c>
      <c r="B357" s="197" t="s">
        <v>180</v>
      </c>
      <c r="C357" s="198">
        <f t="shared" si="340"/>
        <v>11</v>
      </c>
      <c r="D357" s="199">
        <f t="shared" si="276"/>
        <v>53</v>
      </c>
      <c r="E357" s="231" t="s">
        <v>87</v>
      </c>
      <c r="F357" s="200">
        <f t="shared" si="326"/>
        <v>53</v>
      </c>
      <c r="G357" s="201"/>
      <c r="H357" s="232" t="s">
        <v>359</v>
      </c>
      <c r="I357" s="321">
        <v>353</v>
      </c>
      <c r="J357" s="202" t="s">
        <v>49</v>
      </c>
      <c r="K357" s="292">
        <f>K135</f>
        <v>0.33435115679172756</v>
      </c>
      <c r="L357" s="331">
        <f t="shared" si="341"/>
        <v>0.33435115679172756</v>
      </c>
      <c r="M357" s="342">
        <f t="shared" si="341"/>
        <v>0.27091999999999999</v>
      </c>
      <c r="N357" s="342">
        <f t="shared" si="285"/>
        <v>5.4184000000000003E-3</v>
      </c>
      <c r="O357" s="342">
        <f>IF(K357&lt;-1,(2*AVERAGE($N$135:$N$139)),N357)</f>
        <v>5.4184000000000003E-3</v>
      </c>
      <c r="P357" s="203">
        <v>50</v>
      </c>
      <c r="Q357" s="203">
        <f>'Invoer en resultaat'!$H$9</f>
        <v>100</v>
      </c>
      <c r="R357" s="203">
        <f t="shared" si="286"/>
        <v>50</v>
      </c>
      <c r="S357" s="357">
        <f t="shared" si="330"/>
        <v>1</v>
      </c>
      <c r="T357" s="354">
        <v>0.05</v>
      </c>
      <c r="U357" s="190">
        <v>0</v>
      </c>
      <c r="V357" s="140"/>
      <c r="W357" s="140"/>
      <c r="X357" s="140" t="s">
        <v>267</v>
      </c>
      <c r="Y357" s="140" t="str">
        <f>'MKI-waarden'!$A$14</f>
        <v>Kokosvezeldoek</v>
      </c>
    </row>
    <row r="358" spans="1:25" s="205" customFormat="1" ht="14.25" customHeight="1" x14ac:dyDescent="0.2">
      <c r="A358" s="196">
        <f t="shared" ref="A358:A361" si="342">C358</f>
        <v>11</v>
      </c>
      <c r="B358" s="197" t="s">
        <v>180</v>
      </c>
      <c r="C358" s="198">
        <f t="shared" ref="C358:C361" si="343">IF(B358=B357,C357,C357+1)</f>
        <v>11</v>
      </c>
      <c r="D358" s="199">
        <f t="shared" ref="D358:D361" si="344">F358</f>
        <v>53</v>
      </c>
      <c r="E358" s="231" t="s">
        <v>87</v>
      </c>
      <c r="F358" s="200">
        <f t="shared" si="326"/>
        <v>53</v>
      </c>
      <c r="G358" s="201"/>
      <c r="H358" s="231" t="s">
        <v>368</v>
      </c>
      <c r="I358" s="321">
        <v>354</v>
      </c>
      <c r="J358" s="202" t="s">
        <v>49</v>
      </c>
      <c r="K358" s="292">
        <f>$K$137</f>
        <v>0.29183225953818426</v>
      </c>
      <c r="L358" s="331">
        <f>$L$137</f>
        <v>0.29183225953818426</v>
      </c>
      <c r="M358" s="342">
        <f>$M$136</f>
        <v>0.41639166666666677</v>
      </c>
      <c r="N358" s="342">
        <f t="shared" si="285"/>
        <v>8.3278333333333347E-3</v>
      </c>
      <c r="O358" s="342">
        <f>IF(K358&lt;-1,(2*AVERAGE($N$135:$N$139)),N358)</f>
        <v>8.3278333333333347E-3</v>
      </c>
      <c r="P358" s="203">
        <v>50</v>
      </c>
      <c r="Q358" s="203">
        <f>'Invoer en resultaat'!$H$9</f>
        <v>100</v>
      </c>
      <c r="R358" s="203">
        <f t="shared" si="286"/>
        <v>50</v>
      </c>
      <c r="S358" s="357">
        <f>S357</f>
        <v>1</v>
      </c>
      <c r="T358" s="354">
        <f>T357</f>
        <v>0.05</v>
      </c>
      <c r="U358" s="190"/>
      <c r="V358" s="140" t="s">
        <v>581</v>
      </c>
      <c r="W358" s="140"/>
      <c r="X358" s="184" t="s">
        <v>571</v>
      </c>
      <c r="Y358" s="140" t="s">
        <v>662</v>
      </c>
    </row>
    <row r="359" spans="1:25" s="205" customFormat="1" ht="14.25" customHeight="1" x14ac:dyDescent="0.2">
      <c r="A359" s="196">
        <f t="shared" ref="A359" si="345">C359</f>
        <v>11</v>
      </c>
      <c r="B359" s="197" t="s">
        <v>180</v>
      </c>
      <c r="C359" s="198">
        <f t="shared" ref="C359" si="346">IF(B359=B358,C358,C358+1)</f>
        <v>11</v>
      </c>
      <c r="D359" s="199">
        <f t="shared" ref="D359" si="347">F359</f>
        <v>53</v>
      </c>
      <c r="E359" s="231" t="s">
        <v>87</v>
      </c>
      <c r="F359" s="200">
        <f t="shared" ref="F359" si="348">IF(E359=E358,F358,F358+1)</f>
        <v>53</v>
      </c>
      <c r="G359" s="201"/>
      <c r="H359" s="231" t="s">
        <v>402</v>
      </c>
      <c r="I359" s="321">
        <v>355</v>
      </c>
      <c r="J359" s="202" t="s">
        <v>49</v>
      </c>
      <c r="K359" s="292">
        <f>$K$138</f>
        <v>0.33661159136928409</v>
      </c>
      <c r="L359" s="331">
        <f>$L$138</f>
        <v>0.33661159136928409</v>
      </c>
      <c r="M359" s="342">
        <f>$M$137</f>
        <v>0.57645050000000009</v>
      </c>
      <c r="N359" s="342">
        <f t="shared" si="285"/>
        <v>5.7645050000000005E-3</v>
      </c>
      <c r="O359" s="342">
        <f>IF(K359&lt;-1,(2*AVERAGE($N$135:$N$139)),N359)</f>
        <v>5.7645050000000005E-3</v>
      </c>
      <c r="P359" s="203">
        <v>100</v>
      </c>
      <c r="Q359" s="203">
        <f>'Invoer en resultaat'!$H$9</f>
        <v>100</v>
      </c>
      <c r="R359" s="203">
        <f t="shared" si="286"/>
        <v>0</v>
      </c>
      <c r="S359" s="357">
        <f t="shared" ref="S359" si="349">IF(Q359&lt;P359,0,ROUNDDOWN(Q359/P359-0.01,0))</f>
        <v>0</v>
      </c>
      <c r="T359" s="354">
        <v>0.1</v>
      </c>
      <c r="U359" s="190"/>
      <c r="V359" s="333" t="s">
        <v>403</v>
      </c>
      <c r="W359" s="140"/>
      <c r="X359" s="140"/>
      <c r="Y359" s="140" t="str">
        <f>'MKI-waarden'!$A$110</f>
        <v xml:space="preserve">Verhardingen, Grind </v>
      </c>
    </row>
    <row r="360" spans="1:25" s="205" customFormat="1" ht="14.25" customHeight="1" x14ac:dyDescent="0.2">
      <c r="A360" s="196">
        <f t="shared" si="342"/>
        <v>11</v>
      </c>
      <c r="B360" s="197" t="s">
        <v>180</v>
      </c>
      <c r="C360" s="198">
        <f>IF(B360=B358,C358,C358+1)</f>
        <v>11</v>
      </c>
      <c r="D360" s="199">
        <f t="shared" si="344"/>
        <v>53</v>
      </c>
      <c r="E360" s="231" t="s">
        <v>87</v>
      </c>
      <c r="F360" s="200">
        <f>IF(E360=E357,F357,F357+1)</f>
        <v>53</v>
      </c>
      <c r="G360" s="201"/>
      <c r="H360" s="232" t="str">
        <f>$H$138</f>
        <v>Kunststof (geotextiel) woven (pp)</v>
      </c>
      <c r="I360" s="321">
        <v>356</v>
      </c>
      <c r="J360" s="202" t="s">
        <v>49</v>
      </c>
      <c r="K360" s="292">
        <f>K138</f>
        <v>0.33661159136928409</v>
      </c>
      <c r="L360" s="331">
        <f>L138</f>
        <v>0.33661159136928409</v>
      </c>
      <c r="M360" s="342">
        <f>M138</f>
        <v>0.27</v>
      </c>
      <c r="N360" s="342">
        <f t="shared" si="285"/>
        <v>5.4000000000000003E-3</v>
      </c>
      <c r="O360" s="342">
        <f>IF(K360&lt;-1,(2*AVERAGE($N$135:$N$139)),N360)</f>
        <v>5.4000000000000003E-3</v>
      </c>
      <c r="P360" s="203">
        <v>50</v>
      </c>
      <c r="Q360" s="203">
        <f>'Invoer en resultaat'!$H$9</f>
        <v>100</v>
      </c>
      <c r="R360" s="203">
        <f t="shared" si="286"/>
        <v>50</v>
      </c>
      <c r="S360" s="357">
        <f>IF(Q360&lt;P360,0,ROUNDDOWN(Q360/P360-0.01,0))</f>
        <v>1</v>
      </c>
      <c r="T360" s="354">
        <v>3.0000000000000001E-3</v>
      </c>
      <c r="U360" s="190"/>
      <c r="V360" s="140"/>
      <c r="W360" s="140" t="s">
        <v>362</v>
      </c>
      <c r="X360" s="140" t="s">
        <v>267</v>
      </c>
      <c r="Y360" s="229" t="str">
        <f>'MKI-waarden'!$A$90</f>
        <v xml:space="preserve">Polypropyleen weefsel gewapend </v>
      </c>
    </row>
    <row r="361" spans="1:25" s="220" customFormat="1" ht="14.25" customHeight="1" x14ac:dyDescent="0.2">
      <c r="A361" s="208">
        <f t="shared" si="342"/>
        <v>11</v>
      </c>
      <c r="B361" s="209" t="s">
        <v>180</v>
      </c>
      <c r="C361" s="210">
        <f t="shared" si="343"/>
        <v>11</v>
      </c>
      <c r="D361" s="211">
        <f t="shared" si="344"/>
        <v>53</v>
      </c>
      <c r="E361" s="232" t="s">
        <v>87</v>
      </c>
      <c r="F361" s="213">
        <f t="shared" si="326"/>
        <v>53</v>
      </c>
      <c r="G361" s="214"/>
      <c r="H361" s="232" t="s">
        <v>24</v>
      </c>
      <c r="I361" s="321">
        <v>357</v>
      </c>
      <c r="J361" s="215" t="s">
        <v>49</v>
      </c>
      <c r="K361" s="296">
        <f>K139</f>
        <v>-0.93972313689515308</v>
      </c>
      <c r="L361" s="331">
        <f>L139</f>
        <v>-0.93972313689515308</v>
      </c>
      <c r="M361" s="345">
        <f>'MKI-waarden'!D$89</f>
        <v>0.78947000000000012</v>
      </c>
      <c r="N361" s="345">
        <f t="shared" si="285"/>
        <v>1.5789400000000002E-2</v>
      </c>
      <c r="O361" s="345">
        <f>IF(K361&lt;-1,(2*AVERAGE($N$135:$N$139)),N361)</f>
        <v>1.5789400000000002E-2</v>
      </c>
      <c r="P361" s="216">
        <v>50</v>
      </c>
      <c r="Q361" s="216">
        <f>'Invoer en resultaat'!$H$9</f>
        <v>100</v>
      </c>
      <c r="R361" s="216">
        <f t="shared" si="286"/>
        <v>50</v>
      </c>
      <c r="S361" s="358">
        <f>IF(Q361&lt;P361,0,ROUNDDOWN(Q361/P361-0.01,0))</f>
        <v>1</v>
      </c>
      <c r="T361" s="359">
        <v>2E-3</v>
      </c>
      <c r="U361" s="217">
        <v>0</v>
      </c>
      <c r="W361" s="229" t="s">
        <v>363</v>
      </c>
      <c r="X361" s="229"/>
      <c r="Y361" s="229" t="str">
        <f>'MKI-waarden'!A$89</f>
        <v>Polyester vlies</v>
      </c>
    </row>
    <row r="362" spans="1:25" s="205" customFormat="1" ht="14.25" customHeight="1" x14ac:dyDescent="0.2">
      <c r="A362" s="196">
        <f t="shared" si="312"/>
        <v>12</v>
      </c>
      <c r="B362" s="197" t="s">
        <v>326</v>
      </c>
      <c r="C362" s="210">
        <f t="shared" si="340"/>
        <v>12</v>
      </c>
      <c r="D362" s="199">
        <f t="shared" si="276"/>
        <v>54</v>
      </c>
      <c r="E362" s="231" t="s">
        <v>23</v>
      </c>
      <c r="F362" s="213">
        <f t="shared" si="326"/>
        <v>54</v>
      </c>
      <c r="G362" s="201"/>
      <c r="H362" s="231" t="s">
        <v>123</v>
      </c>
      <c r="I362" s="321">
        <v>358</v>
      </c>
      <c r="J362" s="202" t="s">
        <v>49</v>
      </c>
      <c r="K362" s="292">
        <f>1-(N362/AVERAGE($N$362:$N$368))</f>
        <v>0.4450052888862287</v>
      </c>
      <c r="L362" s="331">
        <f t="shared" ref="L362:L368" si="350">L182</f>
        <v>0.39553503692894687</v>
      </c>
      <c r="M362" s="342">
        <f>T362*'MKI-waarden'!$D$79</f>
        <v>1.9148035000000003</v>
      </c>
      <c r="N362" s="342">
        <f t="shared" si="285"/>
        <v>1.9148035000000004E-2</v>
      </c>
      <c r="O362" s="342">
        <f>O182</f>
        <v>1.9148035000000004E-2</v>
      </c>
      <c r="P362" s="203">
        <v>100</v>
      </c>
      <c r="Q362" s="203">
        <f>'Invoer en resultaat'!$H$9</f>
        <v>100</v>
      </c>
      <c r="R362" s="203">
        <f t="shared" si="286"/>
        <v>0</v>
      </c>
      <c r="S362" s="357">
        <f t="shared" ref="S362:S370" si="351">IF(Q362&lt;P362,0,ROUNDDOWN(Q362/P362-0.01,0))</f>
        <v>0</v>
      </c>
      <c r="T362" s="354">
        <v>0.5</v>
      </c>
      <c r="U362" s="190">
        <v>0</v>
      </c>
      <c r="V362" s="140"/>
      <c r="W362" s="140"/>
      <c r="X362" s="140"/>
      <c r="Y362" s="140" t="str">
        <f>'MKI-waarden'!$A$79</f>
        <v>Ophoogmateriaal klei</v>
      </c>
    </row>
    <row r="363" spans="1:25" s="205" customFormat="1" ht="14.25" customHeight="1" x14ac:dyDescent="0.2">
      <c r="A363" s="196">
        <f t="shared" si="312"/>
        <v>12</v>
      </c>
      <c r="B363" s="197" t="s">
        <v>326</v>
      </c>
      <c r="C363" s="210">
        <f t="shared" si="340"/>
        <v>12</v>
      </c>
      <c r="D363" s="199">
        <f t="shared" si="276"/>
        <v>54</v>
      </c>
      <c r="E363" s="231" t="s">
        <v>23</v>
      </c>
      <c r="F363" s="213">
        <f t="shared" si="326"/>
        <v>54</v>
      </c>
      <c r="G363" s="201"/>
      <c r="H363" s="231" t="s">
        <v>121</v>
      </c>
      <c r="I363" s="321">
        <v>359</v>
      </c>
      <c r="J363" s="202" t="s">
        <v>49</v>
      </c>
      <c r="K363" s="292"/>
      <c r="L363" s="331">
        <f t="shared" si="350"/>
        <v>0</v>
      </c>
      <c r="M363" s="348" t="s">
        <v>257</v>
      </c>
      <c r="N363" s="348" t="str">
        <f t="shared" si="285"/>
        <v/>
      </c>
      <c r="O363" s="348"/>
      <c r="P363" s="203">
        <v>40</v>
      </c>
      <c r="Q363" s="203">
        <f>'Invoer en resultaat'!$H$9</f>
        <v>100</v>
      </c>
      <c r="R363" s="203">
        <f t="shared" si="286"/>
        <v>60</v>
      </c>
      <c r="S363" s="357">
        <f t="shared" si="351"/>
        <v>2</v>
      </c>
      <c r="T363" s="354">
        <v>0.03</v>
      </c>
      <c r="U363" s="190">
        <v>0</v>
      </c>
      <c r="V363" s="274" t="s">
        <v>665</v>
      </c>
      <c r="W363" s="140"/>
      <c r="X363" s="140"/>
      <c r="Y363" s="140"/>
    </row>
    <row r="364" spans="1:25" s="205" customFormat="1" ht="14.25" customHeight="1" x14ac:dyDescent="0.2">
      <c r="A364" s="196">
        <f t="shared" si="312"/>
        <v>12</v>
      </c>
      <c r="B364" s="197" t="s">
        <v>326</v>
      </c>
      <c r="C364" s="210">
        <f t="shared" si="340"/>
        <v>12</v>
      </c>
      <c r="D364" s="199">
        <f t="shared" si="276"/>
        <v>54</v>
      </c>
      <c r="E364" s="231" t="s">
        <v>23</v>
      </c>
      <c r="F364" s="213">
        <f t="shared" si="326"/>
        <v>54</v>
      </c>
      <c r="G364" s="201"/>
      <c r="H364" s="231" t="s">
        <v>122</v>
      </c>
      <c r="I364" s="321">
        <v>360</v>
      </c>
      <c r="J364" s="221" t="s">
        <v>49</v>
      </c>
      <c r="K364" s="292">
        <f>1-(N364/AVERAGE($N$362:$N$368))</f>
        <v>0.60737703076335803</v>
      </c>
      <c r="L364" s="331">
        <f t="shared" si="350"/>
        <v>0.57238001759655843</v>
      </c>
      <c r="M364" s="342">
        <f>$M$135</f>
        <v>0.27091999999999999</v>
      </c>
      <c r="N364" s="342">
        <f t="shared" si="285"/>
        <v>1.3545999999999999E-2</v>
      </c>
      <c r="O364" s="342">
        <f>O184</f>
        <v>1.3545999999999999E-2</v>
      </c>
      <c r="P364" s="203">
        <v>20</v>
      </c>
      <c r="Q364" s="203">
        <f>'Invoer en resultaat'!$H$9</f>
        <v>100</v>
      </c>
      <c r="R364" s="203">
        <f t="shared" si="286"/>
        <v>80</v>
      </c>
      <c r="S364" s="357">
        <f t="shared" si="351"/>
        <v>4</v>
      </c>
      <c r="T364" s="354">
        <v>0.04</v>
      </c>
      <c r="U364" s="190">
        <v>0</v>
      </c>
      <c r="V364" s="140" t="s">
        <v>336</v>
      </c>
      <c r="W364" s="140"/>
      <c r="X364" s="184"/>
      <c r="Y364" s="140" t="str">
        <f>'MKI-waarden'!A14</f>
        <v>Kokosvezeldoek</v>
      </c>
    </row>
    <row r="365" spans="1:25" s="205" customFormat="1" ht="14.25" customHeight="1" x14ac:dyDescent="0.2">
      <c r="A365" s="196">
        <f t="shared" si="312"/>
        <v>12</v>
      </c>
      <c r="B365" s="197" t="s">
        <v>326</v>
      </c>
      <c r="C365" s="210">
        <f t="shared" si="340"/>
        <v>12</v>
      </c>
      <c r="D365" s="199">
        <f t="shared" si="276"/>
        <v>54</v>
      </c>
      <c r="E365" s="231" t="s">
        <v>23</v>
      </c>
      <c r="F365" s="213">
        <f t="shared" si="326"/>
        <v>54</v>
      </c>
      <c r="G365" s="201"/>
      <c r="H365" s="231" t="s">
        <v>107</v>
      </c>
      <c r="I365" s="321">
        <v>361</v>
      </c>
      <c r="J365" s="202" t="s">
        <v>49</v>
      </c>
      <c r="K365" s="292">
        <f>1-(N365/AVERAGE($N$362:$N$368))</f>
        <v>-0.74446623148561675</v>
      </c>
      <c r="L365" s="331">
        <f t="shared" si="350"/>
        <v>-0.13590422273931746</v>
      </c>
      <c r="M365" s="342">
        <f>T365/'MKI-waarden'!$N$31*'MKI-waarden'!$D$31</f>
        <v>4.5139755102040811</v>
      </c>
      <c r="N365" s="342">
        <f t="shared" si="285"/>
        <v>6.0186340136054416E-2</v>
      </c>
      <c r="O365" s="342">
        <f>O185</f>
        <v>3.5982786666666669E-2</v>
      </c>
      <c r="P365" s="203">
        <v>75</v>
      </c>
      <c r="Q365" s="203">
        <f>'Invoer en resultaat'!$H$9</f>
        <v>100</v>
      </c>
      <c r="R365" s="203">
        <f t="shared" si="286"/>
        <v>25</v>
      </c>
      <c r="S365" s="357">
        <f t="shared" si="351"/>
        <v>1</v>
      </c>
      <c r="T365" s="354">
        <v>0.1</v>
      </c>
      <c r="U365" s="190">
        <v>0</v>
      </c>
      <c r="V365" s="140"/>
      <c r="W365" s="140"/>
      <c r="X365" s="140"/>
      <c r="Y365" s="140" t="str">
        <f>'MKI-waarden'!$A$31</f>
        <v>Damwand, Beton</v>
      </c>
    </row>
    <row r="366" spans="1:25" s="205" customFormat="1" ht="14.25" customHeight="1" x14ac:dyDescent="0.2">
      <c r="A366" s="196">
        <f t="shared" si="312"/>
        <v>12</v>
      </c>
      <c r="B366" s="197" t="s">
        <v>326</v>
      </c>
      <c r="C366" s="210">
        <f t="shared" si="340"/>
        <v>12</v>
      </c>
      <c r="D366" s="199">
        <f t="shared" si="276"/>
        <v>54</v>
      </c>
      <c r="E366" s="231" t="s">
        <v>23</v>
      </c>
      <c r="F366" s="213">
        <f t="shared" si="326"/>
        <v>54</v>
      </c>
      <c r="G366" s="201"/>
      <c r="H366" s="231" t="s">
        <v>108</v>
      </c>
      <c r="I366" s="321">
        <v>362</v>
      </c>
      <c r="J366" s="202" t="s">
        <v>49</v>
      </c>
      <c r="K366" s="292">
        <f>1-(N366/AVERAGE($N$362:$N$368))</f>
        <v>0.61904905717053327</v>
      </c>
      <c r="L366" s="331">
        <f t="shared" si="350"/>
        <v>0.58509244686821549</v>
      </c>
      <c r="M366" s="342">
        <f>T366/'MKI-waarden'!$N$18*'MKI-waarden'!$D$18</f>
        <v>1.3143299999999998</v>
      </c>
      <c r="N366" s="342">
        <f t="shared" si="285"/>
        <v>1.3143299999999998E-2</v>
      </c>
      <c r="O366" s="342">
        <f>O186</f>
        <v>1.3143299999999998E-2</v>
      </c>
      <c r="P366" s="203">
        <v>100</v>
      </c>
      <c r="Q366" s="203">
        <f>'Invoer en resultaat'!$H$9</f>
        <v>100</v>
      </c>
      <c r="R366" s="203">
        <f t="shared" si="286"/>
        <v>0</v>
      </c>
      <c r="S366" s="357">
        <f t="shared" si="351"/>
        <v>0</v>
      </c>
      <c r="T366" s="354">
        <v>0.2</v>
      </c>
      <c r="U366" s="190">
        <v>0</v>
      </c>
      <c r="V366" s="140"/>
      <c r="W366" s="140"/>
      <c r="X366" s="140"/>
      <c r="Y366" s="140" t="str">
        <f>'MKI-waarden'!$A$18</f>
        <v>Bekleding, waterbouw steenbreuksteen natuursteen</v>
      </c>
    </row>
    <row r="367" spans="1:25" s="205" customFormat="1" ht="14.25" customHeight="1" x14ac:dyDescent="0.2">
      <c r="A367" s="196">
        <f t="shared" si="312"/>
        <v>12</v>
      </c>
      <c r="B367" s="197" t="s">
        <v>326</v>
      </c>
      <c r="C367" s="210">
        <f t="shared" si="340"/>
        <v>12</v>
      </c>
      <c r="D367" s="199">
        <f t="shared" si="276"/>
        <v>54</v>
      </c>
      <c r="E367" s="231" t="s">
        <v>23</v>
      </c>
      <c r="F367" s="213">
        <f t="shared" si="326"/>
        <v>54</v>
      </c>
      <c r="G367" s="201"/>
      <c r="H367" s="231" t="s">
        <v>102</v>
      </c>
      <c r="I367" s="321">
        <v>363</v>
      </c>
      <c r="J367" s="202" t="s">
        <v>49</v>
      </c>
      <c r="K367" s="292">
        <f>1-(N367/AVERAGE($N$362:$N$368))</f>
        <v>-1.09335947778274</v>
      </c>
      <c r="L367" s="331">
        <f t="shared" si="350"/>
        <v>-0.36308506728718082</v>
      </c>
      <c r="M367" s="342">
        <f>T367/'MKI-waarden'!$N$31*'MKI-waarden'!$D$31</f>
        <v>5.4167706122448971</v>
      </c>
      <c r="N367" s="342">
        <f t="shared" si="285"/>
        <v>7.2223608163265299E-2</v>
      </c>
      <c r="O367" s="342">
        <f>O187</f>
        <v>4.3179344000000001E-2</v>
      </c>
      <c r="P367" s="203">
        <v>75</v>
      </c>
      <c r="Q367" s="203">
        <f>'Invoer en resultaat'!$H$9</f>
        <v>100</v>
      </c>
      <c r="R367" s="203">
        <f t="shared" si="286"/>
        <v>25</v>
      </c>
      <c r="S367" s="357">
        <f t="shared" si="351"/>
        <v>1</v>
      </c>
      <c r="T367" s="354">
        <v>0.12</v>
      </c>
      <c r="U367" s="190">
        <v>0</v>
      </c>
      <c r="V367" s="140"/>
      <c r="W367" s="140"/>
      <c r="X367" s="140"/>
      <c r="Y367" s="140" t="str">
        <f>'MKI-waarden'!$A$31</f>
        <v>Damwand, Beton</v>
      </c>
    </row>
    <row r="368" spans="1:25" s="220" customFormat="1" ht="14.25" customHeight="1" x14ac:dyDescent="0.2">
      <c r="A368" s="208">
        <f>C368</f>
        <v>12</v>
      </c>
      <c r="B368" s="209" t="s">
        <v>326</v>
      </c>
      <c r="C368" s="210">
        <f>IF(B368=B367,C367,C367+1)</f>
        <v>12</v>
      </c>
      <c r="D368" s="211">
        <f>F368</f>
        <v>54</v>
      </c>
      <c r="E368" s="232" t="s">
        <v>23</v>
      </c>
      <c r="F368" s="213">
        <f>IF(E368=E367,F367,F367+1)</f>
        <v>54</v>
      </c>
      <c r="G368" s="214"/>
      <c r="H368" s="232" t="s">
        <v>57</v>
      </c>
      <c r="I368" s="321">
        <v>364</v>
      </c>
      <c r="J368" s="215" t="s">
        <v>49</v>
      </c>
      <c r="K368" s="296">
        <f>1-(N368/AVERAGE($N$362:$N$368))</f>
        <v>0.16639433244823731</v>
      </c>
      <c r="L368" s="331">
        <f t="shared" si="350"/>
        <v>-1</v>
      </c>
      <c r="M368" s="345">
        <f>T368*'MKI-waarden'!$D$70</f>
        <v>2.8760473169999998</v>
      </c>
      <c r="N368" s="345">
        <f>IFERROR(IF(Q368&lt;P368,M368/Q368,M368/P368),"")</f>
        <v>2.8760473169999998E-2</v>
      </c>
      <c r="O368" s="345">
        <f>O188</f>
        <v>6.5066488555555566E-2</v>
      </c>
      <c r="P368" s="216">
        <v>100</v>
      </c>
      <c r="Q368" s="203">
        <f>'Invoer en resultaat'!$H$9</f>
        <v>100</v>
      </c>
      <c r="R368" s="203">
        <f>Q368-P368</f>
        <v>0</v>
      </c>
      <c r="S368" s="358">
        <f>IF(Q368&lt;P368,0,ROUNDDOWN(Q368/P368-0.01,0))</f>
        <v>0</v>
      </c>
      <c r="T368" s="359">
        <v>0.3</v>
      </c>
      <c r="U368" s="217">
        <v>0</v>
      </c>
      <c r="V368" s="229"/>
      <c r="W368" s="229"/>
      <c r="X368" s="229"/>
      <c r="Y368" s="229" t="str">
        <f>'MKI-waarden'!$A$70</f>
        <v>Grondwerken, lichte ophoogmaterialen, BIMS (yali)</v>
      </c>
    </row>
    <row r="369" spans="1:25" s="220" customFormat="1" ht="14.25" customHeight="1" x14ac:dyDescent="0.2">
      <c r="A369" s="208">
        <f>C369</f>
        <v>12</v>
      </c>
      <c r="B369" s="209" t="str">
        <f>B368</f>
        <v>Dijk, Kering</v>
      </c>
      <c r="C369" s="210">
        <f>IF(B369=B368,C368,C368+1)</f>
        <v>12</v>
      </c>
      <c r="D369" s="211">
        <f>F369</f>
        <v>54</v>
      </c>
      <c r="E369" s="232" t="str">
        <f>E368</f>
        <v>taludbekleding</v>
      </c>
      <c r="F369" s="213">
        <f>IF(E369=E368,F368,F368+1)</f>
        <v>54</v>
      </c>
      <c r="G369" s="214"/>
      <c r="H369" s="232" t="s">
        <v>670</v>
      </c>
      <c r="I369" s="321">
        <v>365</v>
      </c>
      <c r="J369" s="215" t="s">
        <v>49</v>
      </c>
      <c r="K369" s="296"/>
      <c r="L369" s="332"/>
      <c r="M369" s="345"/>
      <c r="N369" s="345"/>
      <c r="O369" s="345"/>
      <c r="P369" s="216">
        <v>100</v>
      </c>
      <c r="Q369" s="203">
        <f>'Invoer en resultaat'!$H$9</f>
        <v>100</v>
      </c>
      <c r="R369" s="203">
        <f>Q369-P369</f>
        <v>0</v>
      </c>
      <c r="S369" s="358"/>
      <c r="T369" s="359"/>
      <c r="U369" s="217"/>
      <c r="V369" s="220" t="s">
        <v>668</v>
      </c>
      <c r="W369" s="229"/>
      <c r="X369" s="229"/>
      <c r="Y369" s="229"/>
    </row>
    <row r="370" spans="1:25" s="205" customFormat="1" ht="14.25" customHeight="1" x14ac:dyDescent="0.2">
      <c r="A370" s="196">
        <f t="shared" si="312"/>
        <v>12</v>
      </c>
      <c r="B370" s="197" t="s">
        <v>326</v>
      </c>
      <c r="C370" s="198">
        <f>IF(B370=B368,C368,C368+1)</f>
        <v>12</v>
      </c>
      <c r="D370" s="199">
        <f t="shared" si="276"/>
        <v>55</v>
      </c>
      <c r="E370" s="231" t="s">
        <v>87</v>
      </c>
      <c r="F370" s="200">
        <f>IF(E370=E368,F368,F368+1)</f>
        <v>55</v>
      </c>
      <c r="G370" s="201"/>
      <c r="H370" s="232" t="s">
        <v>359</v>
      </c>
      <c r="I370" s="321">
        <v>366</v>
      </c>
      <c r="J370" s="202" t="s">
        <v>49</v>
      </c>
      <c r="K370" s="292">
        <f>K135</f>
        <v>0.33435115679172756</v>
      </c>
      <c r="L370" s="331">
        <f>L135</f>
        <v>0.33435115679172756</v>
      </c>
      <c r="M370" s="342">
        <f>$M$135</f>
        <v>0.27091999999999999</v>
      </c>
      <c r="N370" s="342">
        <f t="shared" si="285"/>
        <v>5.4184000000000003E-3</v>
      </c>
      <c r="O370" s="342">
        <f>IF(K370&lt;-1,(2*AVERAGE($N$135:$N$139)),N370)</f>
        <v>5.4184000000000003E-3</v>
      </c>
      <c r="P370" s="203">
        <v>50</v>
      </c>
      <c r="Q370" s="203">
        <f>'Invoer en resultaat'!$H$9</f>
        <v>100</v>
      </c>
      <c r="R370" s="203">
        <f t="shared" si="286"/>
        <v>50</v>
      </c>
      <c r="S370" s="357">
        <f t="shared" si="351"/>
        <v>1</v>
      </c>
      <c r="T370" s="354">
        <v>0.05</v>
      </c>
      <c r="U370" s="190">
        <v>0</v>
      </c>
      <c r="V370" s="140"/>
      <c r="W370" s="140"/>
      <c r="X370" s="140" t="s">
        <v>267</v>
      </c>
      <c r="Y370" s="140" t="str">
        <f>'MKI-waarden'!$A$14</f>
        <v>Kokosvezeldoek</v>
      </c>
    </row>
    <row r="371" spans="1:25" s="205" customFormat="1" ht="14.25" customHeight="1" x14ac:dyDescent="0.2">
      <c r="A371" s="196">
        <f t="shared" ref="A371:A374" si="352">C371</f>
        <v>12</v>
      </c>
      <c r="B371" s="197" t="s">
        <v>326</v>
      </c>
      <c r="C371" s="198">
        <f t="shared" ref="C371:C374" si="353">IF(B371=B370,C370,C370+1)</f>
        <v>12</v>
      </c>
      <c r="D371" s="199">
        <f t="shared" ref="D371:D374" si="354">F371</f>
        <v>55</v>
      </c>
      <c r="E371" s="231" t="s">
        <v>87</v>
      </c>
      <c r="F371" s="200">
        <f t="shared" si="326"/>
        <v>55</v>
      </c>
      <c r="G371" s="201"/>
      <c r="H371" s="231" t="s">
        <v>368</v>
      </c>
      <c r="I371" s="321">
        <v>367</v>
      </c>
      <c r="J371" s="202" t="s">
        <v>49</v>
      </c>
      <c r="K371" s="292">
        <f>$K$137</f>
        <v>0.29183225953818426</v>
      </c>
      <c r="L371" s="331">
        <f>$L$137</f>
        <v>0.29183225953818426</v>
      </c>
      <c r="M371" s="342">
        <f>$M$136</f>
        <v>0.41639166666666677</v>
      </c>
      <c r="N371" s="342">
        <f t="shared" si="285"/>
        <v>8.3278333333333347E-3</v>
      </c>
      <c r="O371" s="342">
        <f>IF(K371&lt;-1,(2*AVERAGE($N$135:$N$139)),N371)</f>
        <v>8.3278333333333347E-3</v>
      </c>
      <c r="P371" s="203">
        <v>50</v>
      </c>
      <c r="Q371" s="203">
        <f>'Invoer en resultaat'!$H$9</f>
        <v>100</v>
      </c>
      <c r="R371" s="203">
        <f t="shared" si="286"/>
        <v>50</v>
      </c>
      <c r="S371" s="357">
        <f>S370</f>
        <v>1</v>
      </c>
      <c r="T371" s="354">
        <f>T370</f>
        <v>0.05</v>
      </c>
      <c r="U371" s="190"/>
      <c r="V371" s="140" t="s">
        <v>581</v>
      </c>
      <c r="W371" s="140"/>
      <c r="X371" s="184" t="s">
        <v>571</v>
      </c>
      <c r="Y371" s="140" t="s">
        <v>662</v>
      </c>
    </row>
    <row r="372" spans="1:25" s="205" customFormat="1" ht="14.25" customHeight="1" x14ac:dyDescent="0.2">
      <c r="A372" s="196">
        <f t="shared" ref="A372" si="355">C372</f>
        <v>12</v>
      </c>
      <c r="B372" s="197" t="s">
        <v>326</v>
      </c>
      <c r="C372" s="198">
        <f t="shared" ref="C372" si="356">IF(B372=B371,C371,C371+1)</f>
        <v>12</v>
      </c>
      <c r="D372" s="199">
        <f t="shared" ref="D372" si="357">F372</f>
        <v>55</v>
      </c>
      <c r="E372" s="231" t="s">
        <v>87</v>
      </c>
      <c r="F372" s="200">
        <f t="shared" ref="F372" si="358">IF(E372=E371,F371,F371+1)</f>
        <v>55</v>
      </c>
      <c r="G372" s="201"/>
      <c r="H372" s="231" t="s">
        <v>402</v>
      </c>
      <c r="I372" s="321">
        <v>368</v>
      </c>
      <c r="J372" s="202" t="s">
        <v>49</v>
      </c>
      <c r="K372" s="292">
        <f>$K$138</f>
        <v>0.33661159136928409</v>
      </c>
      <c r="L372" s="331">
        <f>$L$138</f>
        <v>0.33661159136928409</v>
      </c>
      <c r="M372" s="342">
        <f>$M$137</f>
        <v>0.57645050000000009</v>
      </c>
      <c r="N372" s="342">
        <f t="shared" si="285"/>
        <v>5.7645050000000005E-3</v>
      </c>
      <c r="O372" s="342">
        <f>IF(K372&lt;-1,(2*AVERAGE($N$135:$N$139)),N372)</f>
        <v>5.7645050000000005E-3</v>
      </c>
      <c r="P372" s="203">
        <v>100</v>
      </c>
      <c r="Q372" s="203">
        <f>'Invoer en resultaat'!$H$9</f>
        <v>100</v>
      </c>
      <c r="R372" s="203">
        <f t="shared" si="286"/>
        <v>0</v>
      </c>
      <c r="S372" s="357">
        <f t="shared" ref="S372" si="359">IF(Q372&lt;P372,0,ROUNDDOWN(Q372/P372-0.01,0))</f>
        <v>0</v>
      </c>
      <c r="T372" s="354">
        <v>0.1</v>
      </c>
      <c r="U372" s="190"/>
      <c r="V372" s="333" t="s">
        <v>403</v>
      </c>
      <c r="W372" s="140"/>
      <c r="X372" s="140"/>
      <c r="Y372" s="140" t="str">
        <f>'MKI-waarden'!$A$110</f>
        <v xml:space="preserve">Verhardingen, Grind </v>
      </c>
    </row>
    <row r="373" spans="1:25" s="205" customFormat="1" ht="14.25" customHeight="1" x14ac:dyDescent="0.2">
      <c r="A373" s="196">
        <f t="shared" si="352"/>
        <v>12</v>
      </c>
      <c r="B373" s="197" t="s">
        <v>326</v>
      </c>
      <c r="C373" s="198">
        <f>IF(B373=B371,C371,C371+1)</f>
        <v>12</v>
      </c>
      <c r="D373" s="199">
        <f t="shared" si="354"/>
        <v>55</v>
      </c>
      <c r="E373" s="231" t="s">
        <v>87</v>
      </c>
      <c r="F373" s="200">
        <f>IF(E373=E370,F370,F370+1)</f>
        <v>55</v>
      </c>
      <c r="G373" s="201"/>
      <c r="H373" s="232" t="str">
        <f>$H$138</f>
        <v>Kunststof (geotextiel) woven (pp)</v>
      </c>
      <c r="I373" s="321">
        <v>369</v>
      </c>
      <c r="J373" s="202" t="s">
        <v>49</v>
      </c>
      <c r="K373" s="292">
        <f>K138</f>
        <v>0.33661159136928409</v>
      </c>
      <c r="L373" s="331">
        <f>L138</f>
        <v>0.33661159136928409</v>
      </c>
      <c r="M373" s="342">
        <f>M138</f>
        <v>0.27</v>
      </c>
      <c r="N373" s="342">
        <f t="shared" si="285"/>
        <v>5.4000000000000003E-3</v>
      </c>
      <c r="O373" s="342">
        <f>IF(K373&lt;-1,(2*AVERAGE($N$135:$N$139)),N373)</f>
        <v>5.4000000000000003E-3</v>
      </c>
      <c r="P373" s="203">
        <v>50</v>
      </c>
      <c r="Q373" s="203">
        <f>'Invoer en resultaat'!$H$9</f>
        <v>100</v>
      </c>
      <c r="R373" s="203">
        <f t="shared" si="286"/>
        <v>50</v>
      </c>
      <c r="S373" s="357">
        <f>IF(Q373&lt;P373,0,ROUNDDOWN(Q373/P373-0.01,0))</f>
        <v>1</v>
      </c>
      <c r="T373" s="354">
        <v>3.0000000000000001E-3</v>
      </c>
      <c r="U373" s="190"/>
      <c r="V373" s="140"/>
      <c r="W373" s="140" t="s">
        <v>362</v>
      </c>
      <c r="X373" s="140" t="s">
        <v>267</v>
      </c>
      <c r="Y373" s="229" t="str">
        <f>'MKI-waarden'!$A$90</f>
        <v xml:space="preserve">Polypropyleen weefsel gewapend </v>
      </c>
    </row>
    <row r="374" spans="1:25" s="220" customFormat="1" ht="14.25" customHeight="1" x14ac:dyDescent="0.2">
      <c r="A374" s="208">
        <f t="shared" si="352"/>
        <v>12</v>
      </c>
      <c r="B374" s="209" t="s">
        <v>326</v>
      </c>
      <c r="C374" s="210">
        <f t="shared" si="353"/>
        <v>12</v>
      </c>
      <c r="D374" s="211">
        <f t="shared" si="354"/>
        <v>55</v>
      </c>
      <c r="E374" s="232" t="s">
        <v>87</v>
      </c>
      <c r="F374" s="213">
        <f t="shared" si="326"/>
        <v>55</v>
      </c>
      <c r="G374" s="214"/>
      <c r="H374" s="232" t="s">
        <v>24</v>
      </c>
      <c r="I374" s="321">
        <v>370</v>
      </c>
      <c r="J374" s="215" t="s">
        <v>49</v>
      </c>
      <c r="K374" s="296">
        <f>K139</f>
        <v>-0.93972313689515308</v>
      </c>
      <c r="L374" s="331">
        <f>L139</f>
        <v>-0.93972313689515308</v>
      </c>
      <c r="M374" s="345">
        <f>'MKI-waarden'!D$89</f>
        <v>0.78947000000000012</v>
      </c>
      <c r="N374" s="345">
        <f t="shared" si="285"/>
        <v>1.5789400000000002E-2</v>
      </c>
      <c r="O374" s="345">
        <f>IF(K374&lt;-1,(2*AVERAGE($N$135:$N$139)),N374)</f>
        <v>1.5789400000000002E-2</v>
      </c>
      <c r="P374" s="216">
        <v>50</v>
      </c>
      <c r="Q374" s="216">
        <f>'Invoer en resultaat'!$H$9</f>
        <v>100</v>
      </c>
      <c r="R374" s="216">
        <f t="shared" si="286"/>
        <v>50</v>
      </c>
      <c r="S374" s="358">
        <f>IF(Q374&lt;P374,0,ROUNDDOWN(Q374/P374-0.01,0))</f>
        <v>1</v>
      </c>
      <c r="T374" s="359">
        <v>2E-3</v>
      </c>
      <c r="U374" s="217">
        <v>0</v>
      </c>
      <c r="W374" s="229" t="s">
        <v>363</v>
      </c>
      <c r="X374" s="229"/>
      <c r="Y374" s="229" t="str">
        <f>'MKI-waarden'!A$89</f>
        <v>Polyester vlies</v>
      </c>
    </row>
    <row r="375" spans="1:25" s="205" customFormat="1" ht="14.25" customHeight="1" x14ac:dyDescent="0.2">
      <c r="A375" s="196">
        <f t="shared" si="312"/>
        <v>12</v>
      </c>
      <c r="B375" s="197" t="s">
        <v>326</v>
      </c>
      <c r="C375" s="210">
        <f t="shared" si="340"/>
        <v>12</v>
      </c>
      <c r="D375" s="199">
        <f t="shared" si="276"/>
        <v>56</v>
      </c>
      <c r="E375" s="205" t="s">
        <v>17</v>
      </c>
      <c r="F375" s="213">
        <f t="shared" si="326"/>
        <v>56</v>
      </c>
      <c r="G375" s="201"/>
      <c r="H375" s="205" t="s">
        <v>613</v>
      </c>
      <c r="I375" s="321">
        <v>371</v>
      </c>
      <c r="J375" s="202" t="s">
        <v>50</v>
      </c>
      <c r="K375" s="296">
        <f>1-(N375/AVERAGE($N$375:$N$377))</f>
        <v>-0.12262465557964619</v>
      </c>
      <c r="L375" s="331">
        <f>IF(K375&gt;-1,1-(O375/AVERAGE($O$375:$O$377)),1-(O375/AVERAGE($N$375:$N$377)))</f>
        <v>-0.12262465557964619</v>
      </c>
      <c r="M375" s="345">
        <f>M96</f>
        <v>0.87902413793103451</v>
      </c>
      <c r="N375" s="345">
        <f t="shared" ref="N375:N376" si="360">IFERROR(IF(Q375&lt;P375,M375/Q375,M375/P375),"")</f>
        <v>2.5114975369458128E-2</v>
      </c>
      <c r="O375" s="345">
        <f>IF(K375&lt;-1,(2*AVERAGE($N$337:$N$348)),N375)</f>
        <v>2.5114975369458128E-2</v>
      </c>
      <c r="P375" s="216">
        <v>35</v>
      </c>
      <c r="Q375" s="203">
        <f>'Invoer en resultaat'!$H$9</f>
        <v>100</v>
      </c>
      <c r="R375" s="203">
        <f t="shared" ref="R375:R376" si="361">Q375-P375</f>
        <v>65</v>
      </c>
      <c r="S375" s="358">
        <f t="shared" ref="S375:S384" si="362">IF(Q375&lt;P375,0,ROUNDDOWN(Q375/P375-0.01,0))</f>
        <v>2</v>
      </c>
      <c r="T375" s="482">
        <v>0.1</v>
      </c>
      <c r="U375" s="190">
        <v>0</v>
      </c>
      <c r="V375" s="345" t="str">
        <f>V96</f>
        <v>behandeld met lijm en folie voor conservering</v>
      </c>
      <c r="W375" s="484" t="str">
        <f>W96</f>
        <v>Holle buis met diameter: 100 mm</v>
      </c>
      <c r="X375" s="140"/>
      <c r="Y375" s="140" t="str">
        <f>'MKI-waarden'!A16</f>
        <v>Bamboe, o.b.v. verkeersbord</v>
      </c>
    </row>
    <row r="376" spans="1:25" s="205" customFormat="1" ht="14.25" customHeight="1" x14ac:dyDescent="0.2">
      <c r="A376" s="196">
        <f t="shared" si="312"/>
        <v>12</v>
      </c>
      <c r="B376" s="197" t="s">
        <v>326</v>
      </c>
      <c r="C376" s="210">
        <f t="shared" si="340"/>
        <v>12</v>
      </c>
      <c r="D376" s="199">
        <f t="shared" si="276"/>
        <v>56</v>
      </c>
      <c r="E376" s="205" t="s">
        <v>17</v>
      </c>
      <c r="F376" s="213">
        <f t="shared" si="326"/>
        <v>56</v>
      </c>
      <c r="G376" s="201"/>
      <c r="H376" s="175" t="s">
        <v>610</v>
      </c>
      <c r="I376" s="321">
        <v>372</v>
      </c>
      <c r="J376" s="202" t="s">
        <v>50</v>
      </c>
      <c r="K376" s="296">
        <f>1-(N376/AVERAGE($N$375:$N$377))</f>
        <v>0.10601174075221265</v>
      </c>
      <c r="L376" s="331">
        <f>IF(K376&gt;-1,1-(O376/AVERAGE($O$375:$O$377)),1-(O376/AVERAGE($N$375:$N$377)))</f>
        <v>0.10601174075221265</v>
      </c>
      <c r="M376" s="345">
        <f>T376/'MKI-waarden'!N51*'MKI-waarden'!D51</f>
        <v>0.3</v>
      </c>
      <c r="N376" s="345">
        <f t="shared" si="360"/>
        <v>0.02</v>
      </c>
      <c r="O376" s="345">
        <f>IF(K376&lt;-1,(2*AVERAGE($N$337:$N$348)),N376)</f>
        <v>0.02</v>
      </c>
      <c r="P376" s="216">
        <v>15</v>
      </c>
      <c r="Q376" s="203">
        <f>'Invoer en resultaat'!$H$9</f>
        <v>100</v>
      </c>
      <c r="R376" s="203">
        <f t="shared" si="361"/>
        <v>85</v>
      </c>
      <c r="S376" s="358">
        <f t="shared" si="362"/>
        <v>6</v>
      </c>
      <c r="T376" s="482">
        <v>0.125</v>
      </c>
      <c r="U376" s="190">
        <v>0</v>
      </c>
      <c r="W376" s="483" t="str">
        <f>W97</f>
        <v>Holle buis met diameter: 100 mm</v>
      </c>
      <c r="X376" s="140"/>
      <c r="Y376" s="140" t="str">
        <f>'MKI-waarden'!A51</f>
        <v>Drainbuis, kokosvezels</v>
      </c>
    </row>
    <row r="377" spans="1:25" s="220" customFormat="1" ht="14.25" customHeight="1" x14ac:dyDescent="0.2">
      <c r="A377" s="208">
        <f t="shared" si="312"/>
        <v>12</v>
      </c>
      <c r="B377" s="209" t="s">
        <v>326</v>
      </c>
      <c r="C377" s="210">
        <f t="shared" si="340"/>
        <v>12</v>
      </c>
      <c r="D377" s="211">
        <f t="shared" si="276"/>
        <v>56</v>
      </c>
      <c r="E377" s="220" t="s">
        <v>17</v>
      </c>
      <c r="F377" s="213">
        <f t="shared" si="326"/>
        <v>56</v>
      </c>
      <c r="G377" s="214"/>
      <c r="H377" s="220" t="s">
        <v>88</v>
      </c>
      <c r="I377" s="321">
        <v>373</v>
      </c>
      <c r="J377" s="215" t="s">
        <v>50</v>
      </c>
      <c r="K377" s="296">
        <f>1-(N377/AVERAGE($N$375:$N$377))</f>
        <v>1.6612914827433878E-2</v>
      </c>
      <c r="L377" s="332">
        <f>IF(K377&gt;-1,1-(O377/AVERAGE($O$375:$O$377)),1-(O377/AVERAGE($N$375:$N$377)))</f>
        <v>1.6612914827433878E-2</v>
      </c>
      <c r="M377" s="345">
        <f>T377/'MKI-waarden'!N52*'MKI-waarden'!D52</f>
        <v>0.33</v>
      </c>
      <c r="N377" s="345">
        <f t="shared" ref="N377" si="363">IFERROR(IF(Q377&lt;P377,M377/Q377,M377/P377),"")</f>
        <v>2.2000000000000002E-2</v>
      </c>
      <c r="O377" s="345">
        <f>IF(K377&lt;-1,(2*AVERAGE($N$337:$N$348)),N377)</f>
        <v>2.2000000000000002E-2</v>
      </c>
      <c r="P377" s="216">
        <v>15</v>
      </c>
      <c r="Q377" s="203">
        <f>'Invoer en resultaat'!$H$9</f>
        <v>100</v>
      </c>
      <c r="R377" s="203">
        <f t="shared" ref="R377" si="364">Q377-P377</f>
        <v>85</v>
      </c>
      <c r="S377" s="358">
        <f t="shared" si="362"/>
        <v>6</v>
      </c>
      <c r="T377" s="482">
        <v>0.125</v>
      </c>
      <c r="U377" s="217">
        <v>0</v>
      </c>
      <c r="V377" s="218"/>
      <c r="W377" s="483" t="str">
        <f>W98</f>
        <v>Holle buis met diameter: 100 mm</v>
      </c>
      <c r="X377" s="229"/>
      <c r="Y377" s="140" t="str">
        <f>'MKI-waarden'!A52</f>
        <v>Drainbuis, PP450 vezels</v>
      </c>
    </row>
    <row r="378" spans="1:25" s="205" customFormat="1" ht="14.25" customHeight="1" x14ac:dyDescent="0.2">
      <c r="A378" s="196">
        <f t="shared" si="312"/>
        <v>12</v>
      </c>
      <c r="B378" s="197" t="s">
        <v>326</v>
      </c>
      <c r="C378" s="210">
        <f t="shared" si="340"/>
        <v>12</v>
      </c>
      <c r="D378" s="199">
        <f t="shared" si="276"/>
        <v>57</v>
      </c>
      <c r="E378" s="175" t="s">
        <v>18</v>
      </c>
      <c r="F378" s="213">
        <f t="shared" si="326"/>
        <v>57</v>
      </c>
      <c r="G378" s="201"/>
      <c r="H378" s="205" t="s">
        <v>19</v>
      </c>
      <c r="I378" s="321">
        <v>374</v>
      </c>
      <c r="J378" s="202" t="s">
        <v>48</v>
      </c>
      <c r="K378" s="292">
        <f>1-(N378/AVERAGE($N$378:$N$379))</f>
        <v>6.1150733008853431E-2</v>
      </c>
      <c r="L378" s="331">
        <f>IF(K378&gt;-1,1-(O378/AVERAGE($O$378:$O$379)),1-(O378/AVERAGE($N$378:$N$379)))</f>
        <v>6.1150733008853431E-2</v>
      </c>
      <c r="M378" s="342">
        <f>T378*'MKI-waarden'!D79</f>
        <v>3.8296070000000006</v>
      </c>
      <c r="N378" s="342">
        <f t="shared" ref="N378:N450" si="365">IFERROR(IF(Q378&lt;P378,M378/Q378,M378/P378),"")</f>
        <v>3.8296070000000008E-2</v>
      </c>
      <c r="O378" s="342">
        <f>IF(K378&lt;-1,(2*AVERAGE($N$378:$N$379)),N378)</f>
        <v>3.8296070000000008E-2</v>
      </c>
      <c r="P378" s="203">
        <v>100</v>
      </c>
      <c r="Q378" s="203">
        <f>'Invoer en resultaat'!$H$9</f>
        <v>100</v>
      </c>
      <c r="R378" s="203">
        <f t="shared" ref="R378:R441" si="366">Q378-P378</f>
        <v>0</v>
      </c>
      <c r="S378" s="357">
        <f t="shared" si="362"/>
        <v>0</v>
      </c>
      <c r="T378" s="354">
        <v>1</v>
      </c>
      <c r="U378" s="190">
        <v>0</v>
      </c>
      <c r="W378" s="140" t="s">
        <v>148</v>
      </c>
      <c r="X378" s="140"/>
      <c r="Y378" s="140" t="str">
        <f>'MKI-waarden'!$A$79</f>
        <v>Ophoogmateriaal klei</v>
      </c>
    </row>
    <row r="379" spans="1:25" s="220" customFormat="1" ht="14.25" customHeight="1" x14ac:dyDescent="0.2">
      <c r="A379" s="208">
        <f t="shared" si="312"/>
        <v>12</v>
      </c>
      <c r="B379" s="209" t="s">
        <v>326</v>
      </c>
      <c r="C379" s="210">
        <f t="shared" si="340"/>
        <v>12</v>
      </c>
      <c r="D379" s="211">
        <f t="shared" si="276"/>
        <v>57</v>
      </c>
      <c r="E379" s="212" t="s">
        <v>18</v>
      </c>
      <c r="F379" s="213">
        <f t="shared" si="326"/>
        <v>57</v>
      </c>
      <c r="G379" s="214"/>
      <c r="H379" s="212" t="s">
        <v>16</v>
      </c>
      <c r="I379" s="321">
        <v>375</v>
      </c>
      <c r="J379" s="215" t="s">
        <v>48</v>
      </c>
      <c r="K379" s="296">
        <f>1-(N379/AVERAGE($N$378:$N$379))</f>
        <v>-6.1150733008853653E-2</v>
      </c>
      <c r="L379" s="331">
        <f>IF(K379&gt;-1,1-(O379/AVERAGE($O$378:$O$379)),1-(O379/AVERAGE($N$378:$N$379)))</f>
        <v>-6.1150733008853653E-2</v>
      </c>
      <c r="M379" s="345">
        <f>T379*'MKI-waarden'!D68</f>
        <v>4.3284799999999999</v>
      </c>
      <c r="N379" s="345">
        <f t="shared" si="365"/>
        <v>4.3284799999999998E-2</v>
      </c>
      <c r="O379" s="345">
        <f>IF(K379&lt;-1,(2*AVERAGE($N$378:$N$379)),N379)</f>
        <v>4.3284799999999998E-2</v>
      </c>
      <c r="P379" s="216">
        <v>100</v>
      </c>
      <c r="Q379" s="203">
        <f>'Invoer en resultaat'!$H$9</f>
        <v>100</v>
      </c>
      <c r="R379" s="203">
        <f t="shared" si="366"/>
        <v>0</v>
      </c>
      <c r="S379" s="358">
        <f t="shared" si="362"/>
        <v>0</v>
      </c>
      <c r="T379" s="359">
        <v>1</v>
      </c>
      <c r="U379" s="217">
        <v>0</v>
      </c>
      <c r="W379" s="229" t="s">
        <v>148</v>
      </c>
      <c r="X379" s="229"/>
      <c r="Y379" s="229" t="str">
        <f>'MKI-waarden'!$A$68</f>
        <v>Ophoogmateriaal, zand</v>
      </c>
    </row>
    <row r="380" spans="1:25" s="205" customFormat="1" ht="14.25" customHeight="1" x14ac:dyDescent="0.2">
      <c r="A380" s="196">
        <f t="shared" si="312"/>
        <v>12</v>
      </c>
      <c r="B380" s="197" t="s">
        <v>326</v>
      </c>
      <c r="C380" s="210">
        <f t="shared" si="340"/>
        <v>12</v>
      </c>
      <c r="D380" s="199">
        <f t="shared" ref="D380:D459" si="367">F380</f>
        <v>58</v>
      </c>
      <c r="E380" s="175" t="s">
        <v>15</v>
      </c>
      <c r="F380" s="213">
        <f t="shared" si="326"/>
        <v>58</v>
      </c>
      <c r="G380" s="201"/>
      <c r="H380" s="175" t="s">
        <v>125</v>
      </c>
      <c r="I380" s="321">
        <v>376</v>
      </c>
      <c r="J380" s="202" t="s">
        <v>49</v>
      </c>
      <c r="K380" s="292">
        <f>1-(N380/AVERAGE($N$380:$N$384))</f>
        <v>0.93617035828952622</v>
      </c>
      <c r="L380" s="331">
        <f>IF(K380&gt;-1,1-(O380/AVERAGE($O$380:$O$384)),1-(O380/AVERAGE($N$380:$N$384)))</f>
        <v>0.89216927752171737</v>
      </c>
      <c r="M380" s="342">
        <f>'MKI-waarden'!$D$90</f>
        <v>0.27</v>
      </c>
      <c r="N380" s="342">
        <f t="shared" si="365"/>
        <v>3.6000000000000003E-3</v>
      </c>
      <c r="O380" s="342">
        <f>IF(K380&lt;-1,(2*AVERAGE($N$380:$N$384)),N380)</f>
        <v>3.6000000000000003E-3</v>
      </c>
      <c r="P380" s="203">
        <v>75</v>
      </c>
      <c r="Q380" s="203">
        <f>'Invoer en resultaat'!$H$9</f>
        <v>100</v>
      </c>
      <c r="R380" s="203">
        <f t="shared" si="366"/>
        <v>25</v>
      </c>
      <c r="S380" s="357">
        <f t="shared" si="362"/>
        <v>1</v>
      </c>
      <c r="T380" s="354">
        <v>3.0000000000000001E-3</v>
      </c>
      <c r="U380" s="190">
        <v>0</v>
      </c>
      <c r="V380" s="174"/>
      <c r="W380" s="140"/>
      <c r="X380" s="140"/>
      <c r="Y380" s="140" t="str">
        <f>'MKI-waarden'!A90</f>
        <v xml:space="preserve">Polypropyleen weefsel gewapend </v>
      </c>
    </row>
    <row r="381" spans="1:25" s="205" customFormat="1" ht="14.25" customHeight="1" x14ac:dyDescent="0.2">
      <c r="A381" s="196">
        <f t="shared" ref="A381:A382" si="368">C381</f>
        <v>12</v>
      </c>
      <c r="B381" s="197" t="s">
        <v>326</v>
      </c>
      <c r="C381" s="210">
        <f t="shared" ref="C381:C382" si="369">IF(B381=B380,C380,C380+1)</f>
        <v>12</v>
      </c>
      <c r="D381" s="199">
        <f t="shared" ref="D381:D382" si="370">F381</f>
        <v>58</v>
      </c>
      <c r="E381" s="175" t="s">
        <v>15</v>
      </c>
      <c r="F381" s="213">
        <f t="shared" ref="F381:F382" si="371">IF(E381=E380,F380,F380+1)</f>
        <v>58</v>
      </c>
      <c r="G381" s="201"/>
      <c r="H381" s="276" t="s">
        <v>616</v>
      </c>
      <c r="I381" s="321">
        <v>377</v>
      </c>
      <c r="J381" s="202" t="s">
        <v>49</v>
      </c>
      <c r="K381" s="292">
        <f>1-(N381/AVERAGE($N$380:$N$384))</f>
        <v>0.99934587326437652</v>
      </c>
      <c r="L381" s="331">
        <f>IF(K381&gt;-1,1-(O381/AVERAGE($O$380:$O$384)),1-(O381/AVERAGE($N$380:$N$384)))</f>
        <v>0.99889494979754723</v>
      </c>
      <c r="M381" s="342">
        <f>T381*'MKI-waarden'!N110*'MKI-waarden'!D110</f>
        <v>2.7669624000000006E-3</v>
      </c>
      <c r="N381" s="342">
        <f t="shared" ref="N381" si="372">IFERROR(IF(Q381&lt;P381,M381/Q381,M381/P381),"")</f>
        <v>3.6892832000000008E-5</v>
      </c>
      <c r="O381" s="342">
        <f>IF(K381&lt;-1,(2*AVERAGE($N$380:$N$384)),N381)</f>
        <v>3.6892832000000008E-5</v>
      </c>
      <c r="P381" s="203">
        <v>75</v>
      </c>
      <c r="Q381" s="203">
        <f>'Invoer en resultaat'!$H$9</f>
        <v>100</v>
      </c>
      <c r="R381" s="203">
        <f t="shared" ref="R381" si="373">Q381-P381</f>
        <v>25</v>
      </c>
      <c r="S381" s="357">
        <f t="shared" ref="S381" si="374">IF(Q381&lt;P381,0,ROUNDDOWN(Q381/P381-0.01,0))</f>
        <v>1</v>
      </c>
      <c r="T381" s="354">
        <v>3.0000000000000001E-3</v>
      </c>
      <c r="U381" s="190"/>
      <c r="V381" s="333"/>
      <c r="W381" s="140"/>
      <c r="X381" s="140"/>
      <c r="Y381" s="140" t="str">
        <f>'MKI-waarden'!A110</f>
        <v xml:space="preserve">Verhardingen, Grind </v>
      </c>
    </row>
    <row r="382" spans="1:25" s="205" customFormat="1" ht="14.25" customHeight="1" x14ac:dyDescent="0.2">
      <c r="A382" s="196">
        <f t="shared" si="368"/>
        <v>12</v>
      </c>
      <c r="B382" s="197" t="s">
        <v>326</v>
      </c>
      <c r="C382" s="210">
        <f t="shared" si="369"/>
        <v>12</v>
      </c>
      <c r="D382" s="199">
        <f t="shared" si="370"/>
        <v>58</v>
      </c>
      <c r="E382" s="175" t="s">
        <v>15</v>
      </c>
      <c r="F382" s="213">
        <f t="shared" si="371"/>
        <v>58</v>
      </c>
      <c r="G382" s="201"/>
      <c r="H382" s="276" t="s">
        <v>404</v>
      </c>
      <c r="I382" s="321">
        <v>378</v>
      </c>
      <c r="J382" s="202" t="s">
        <v>49</v>
      </c>
      <c r="K382" s="292">
        <f>1-(N382/AVERAGE($N$380:$N$384))</f>
        <v>0.65974532361028082</v>
      </c>
      <c r="L382" s="331">
        <f>IF(K382&gt;-1,1-(O382/AVERAGE($O$380:$O$384)),1-(O382/AVERAGE($N$380:$N$384)))</f>
        <v>0.42519013739509659</v>
      </c>
      <c r="M382" s="342">
        <f>T382/'MKI-waarden'!N41*'MKI-waarden'!D41</f>
        <v>1.4392805625</v>
      </c>
      <c r="N382" s="342">
        <f t="shared" ref="N382" si="375">IFERROR(IF(Q382&lt;P382,M382/Q382,M382/P382),"")</f>
        <v>1.9190407499999999E-2</v>
      </c>
      <c r="O382" s="342">
        <f>IF(K382&lt;-1,(2*AVERAGE($N$380:$N$384)),N382)</f>
        <v>1.9190407499999999E-2</v>
      </c>
      <c r="P382" s="203">
        <v>75</v>
      </c>
      <c r="Q382" s="203">
        <f>'Invoer en resultaat'!$H$9</f>
        <v>100</v>
      </c>
      <c r="R382" s="203">
        <f t="shared" ref="R382" si="376">Q382-P382</f>
        <v>25</v>
      </c>
      <c r="S382" s="357">
        <f t="shared" ref="S382" si="377">IF(Q382&lt;P382,0,ROUNDDOWN(Q382/P382-0.01,0))</f>
        <v>1</v>
      </c>
      <c r="T382" s="354">
        <v>3.0000000000000001E-3</v>
      </c>
      <c r="U382" s="190"/>
      <c r="V382" s="333"/>
      <c r="W382" s="140"/>
      <c r="X382" s="140"/>
      <c r="Y382" s="140" t="str">
        <f>'MKI-waarden'!A41</f>
        <v>Damwand PVC Gerecycled, enkel scherm (ProLock, Omega)</v>
      </c>
    </row>
    <row r="383" spans="1:25" s="205" customFormat="1" ht="14.25" customHeight="1" x14ac:dyDescent="0.2">
      <c r="A383" s="196">
        <f t="shared" si="312"/>
        <v>12</v>
      </c>
      <c r="B383" s="197" t="s">
        <v>326</v>
      </c>
      <c r="C383" s="210">
        <f>IF(B383=B380,C380,C380+1)</f>
        <v>12</v>
      </c>
      <c r="D383" s="199">
        <f t="shared" si="367"/>
        <v>58</v>
      </c>
      <c r="E383" s="175" t="s">
        <v>15</v>
      </c>
      <c r="F383" s="213">
        <f>IF(E383=E380,F380,F380+1)</f>
        <v>58</v>
      </c>
      <c r="G383" s="201"/>
      <c r="H383" s="205" t="s">
        <v>171</v>
      </c>
      <c r="I383" s="321">
        <v>379</v>
      </c>
      <c r="J383" s="202" t="s">
        <v>49</v>
      </c>
      <c r="K383" s="292">
        <f>1-(N383/AVERAGE($N$380:$N$384))</f>
        <v>0.44502342839746889</v>
      </c>
      <c r="L383" s="331">
        <f>IF(K383&gt;-1,1-(O383/AVERAGE($O$380:$O$384)),1-(O383/AVERAGE($N$380:$N$384)))</f>
        <v>6.2449309274416054E-2</v>
      </c>
      <c r="M383" s="342">
        <f>T383/'MKI-waarden'!N43*'MKI-waarden'!E43</f>
        <v>3.1300749999999997</v>
      </c>
      <c r="N383" s="342">
        <f t="shared" si="365"/>
        <v>3.1300749999999995E-2</v>
      </c>
      <c r="O383" s="342">
        <f>IF(K383&lt;-1,(2*AVERAGE($N$380:$N$384)),N383)</f>
        <v>3.1300749999999995E-2</v>
      </c>
      <c r="P383" s="203">
        <v>100</v>
      </c>
      <c r="Q383" s="203">
        <f>'Invoer en resultaat'!$H$9</f>
        <v>100</v>
      </c>
      <c r="R383" s="203">
        <f t="shared" si="366"/>
        <v>0</v>
      </c>
      <c r="S383" s="357">
        <f t="shared" si="362"/>
        <v>0</v>
      </c>
      <c r="T383" s="354">
        <v>5.0000000000000001E-3</v>
      </c>
      <c r="U383" s="190">
        <v>0</v>
      </c>
      <c r="W383" s="140"/>
      <c r="X383" s="184"/>
      <c r="Y383" s="140" t="str">
        <f>'MKI-waarden'!A43</f>
        <v>Damwand PE nieuw</v>
      </c>
    </row>
    <row r="384" spans="1:25" s="220" customFormat="1" ht="14.25" customHeight="1" x14ac:dyDescent="0.2">
      <c r="A384" s="208">
        <f t="shared" si="312"/>
        <v>12</v>
      </c>
      <c r="B384" s="209" t="s">
        <v>326</v>
      </c>
      <c r="C384" s="210">
        <f t="shared" si="340"/>
        <v>12</v>
      </c>
      <c r="D384" s="211">
        <f t="shared" si="367"/>
        <v>58</v>
      </c>
      <c r="E384" s="212" t="s">
        <v>15</v>
      </c>
      <c r="F384" s="213">
        <f t="shared" si="326"/>
        <v>58</v>
      </c>
      <c r="G384" s="214"/>
      <c r="H384" s="220" t="s">
        <v>615</v>
      </c>
      <c r="I384" s="321">
        <v>380</v>
      </c>
      <c r="J384" s="215" t="s">
        <v>49</v>
      </c>
      <c r="K384" s="296">
        <f>1-(N384/AVERAGE($N$380:$N$384))</f>
        <v>-3.0402849835616523</v>
      </c>
      <c r="L384" s="331">
        <f>IF(K384&gt;-1,1-(O384/AVERAGE($O$380:$O$384)),1-(O384/AVERAGE($N$380:$N$384)))</f>
        <v>-1</v>
      </c>
      <c r="M384" s="345">
        <f>T384/'MKI-waarden'!N24*'MKI-waarden'!D24</f>
        <v>17.090444444444444</v>
      </c>
      <c r="N384" s="345">
        <f t="shared" si="365"/>
        <v>0.22787259259259257</v>
      </c>
      <c r="O384" s="345">
        <f>IF(K384&lt;-1,(2*AVERAGE($N$380:$N$384)),N384)</f>
        <v>0.11280025716983703</v>
      </c>
      <c r="P384" s="216">
        <v>75</v>
      </c>
      <c r="Q384" s="203">
        <f>'Invoer en resultaat'!$H$9</f>
        <v>100</v>
      </c>
      <c r="R384" s="203">
        <f t="shared" si="366"/>
        <v>25</v>
      </c>
      <c r="S384" s="358">
        <f t="shared" si="362"/>
        <v>1</v>
      </c>
      <c r="T384" s="359">
        <v>0.4</v>
      </c>
      <c r="U384" s="217">
        <v>0</v>
      </c>
      <c r="V384" s="218"/>
      <c r="W384" s="229"/>
      <c r="X384" s="229"/>
      <c r="Y384" s="229" t="str">
        <f>'MKI-waarden'!$A$24</f>
        <v>Cement Bentonietwanden</v>
      </c>
    </row>
    <row r="385" spans="1:25" s="205" customFormat="1" ht="14.25" customHeight="1" x14ac:dyDescent="0.2">
      <c r="A385" s="196">
        <f t="shared" si="312"/>
        <v>12</v>
      </c>
      <c r="B385" s="197" t="s">
        <v>326</v>
      </c>
      <c r="C385" s="210">
        <f t="shared" si="340"/>
        <v>12</v>
      </c>
      <c r="D385" s="199">
        <f t="shared" si="367"/>
        <v>59</v>
      </c>
      <c r="E385" s="231" t="s">
        <v>220</v>
      </c>
      <c r="F385" s="213">
        <f t="shared" si="326"/>
        <v>59</v>
      </c>
      <c r="G385" s="201"/>
      <c r="H385" s="231" t="s">
        <v>12</v>
      </c>
      <c r="I385" s="321">
        <v>381</v>
      </c>
      <c r="J385" s="202" t="s">
        <v>49</v>
      </c>
      <c r="K385" s="292">
        <f>$K$5</f>
        <v>0.43856308421972479</v>
      </c>
      <c r="L385" s="331">
        <f>L$5</f>
        <v>0.42114143562119966</v>
      </c>
      <c r="M385" s="342">
        <f>M$5</f>
        <v>2.003916666666667</v>
      </c>
      <c r="N385" s="342">
        <f t="shared" si="365"/>
        <v>0.20039166666666669</v>
      </c>
      <c r="O385" s="342">
        <f>O$5</f>
        <v>0.20039166666666669</v>
      </c>
      <c r="P385" s="203">
        <f>$P$5</f>
        <v>10</v>
      </c>
      <c r="Q385" s="203">
        <f>'Invoer en resultaat'!$H$9</f>
        <v>100</v>
      </c>
      <c r="R385" s="203">
        <f t="shared" si="366"/>
        <v>90</v>
      </c>
      <c r="S385" s="357">
        <f>$S$5</f>
        <v>9</v>
      </c>
      <c r="T385" s="356">
        <v>0.1</v>
      </c>
      <c r="U385" s="327">
        <v>0</v>
      </c>
      <c r="V385" s="174">
        <f>$V$5</f>
        <v>0</v>
      </c>
      <c r="W385" s="140" t="s">
        <v>331</v>
      </c>
      <c r="X385" s="329"/>
      <c r="Y385" s="207" t="str">
        <f>$Y$5</f>
        <v>Damwanden, Europees naaldhout, damwandplanken</v>
      </c>
    </row>
    <row r="386" spans="1:25" s="205" customFormat="1" ht="14.25" customHeight="1" x14ac:dyDescent="0.2">
      <c r="A386" s="196">
        <f t="shared" si="312"/>
        <v>12</v>
      </c>
      <c r="B386" s="197" t="s">
        <v>326</v>
      </c>
      <c r="C386" s="210">
        <f t="shared" si="340"/>
        <v>12</v>
      </c>
      <c r="D386" s="199">
        <f t="shared" si="367"/>
        <v>59</v>
      </c>
      <c r="E386" s="231" t="s">
        <v>220</v>
      </c>
      <c r="F386" s="213">
        <f t="shared" si="326"/>
        <v>59</v>
      </c>
      <c r="G386" s="201"/>
      <c r="H386" s="231" t="s">
        <v>13</v>
      </c>
      <c r="I386" s="321">
        <v>382</v>
      </c>
      <c r="J386" s="202" t="s">
        <v>49</v>
      </c>
      <c r="K386" s="292">
        <f>$K$6</f>
        <v>9.0963427471344005E-2</v>
      </c>
      <c r="L386" s="331">
        <f>L$6</f>
        <v>6.2755599869213419E-2</v>
      </c>
      <c r="M386" s="342">
        <f>M$6</f>
        <v>6.4891833333333322</v>
      </c>
      <c r="N386" s="342">
        <f t="shared" si="365"/>
        <v>0.32445916666666663</v>
      </c>
      <c r="O386" s="342">
        <f>O$6</f>
        <v>0.32445916666666663</v>
      </c>
      <c r="P386" s="203">
        <f>$P$6</f>
        <v>20</v>
      </c>
      <c r="Q386" s="203">
        <f>'Invoer en resultaat'!$H$9</f>
        <v>100</v>
      </c>
      <c r="R386" s="203">
        <f t="shared" si="366"/>
        <v>80</v>
      </c>
      <c r="S386" s="357">
        <f>$S$6</f>
        <v>4</v>
      </c>
      <c r="T386" s="354">
        <v>0.1</v>
      </c>
      <c r="U386" s="190">
        <v>0</v>
      </c>
      <c r="V386" s="174">
        <f>$V$6</f>
        <v>0</v>
      </c>
      <c r="W386" s="140" t="s">
        <v>331</v>
      </c>
      <c r="X386" s="140"/>
      <c r="Y386" s="207" t="str">
        <f>$Y$6</f>
        <v>Damwand, tropisch hardhout, damwandplanken</v>
      </c>
    </row>
    <row r="387" spans="1:25" s="205" customFormat="1" ht="14.25" customHeight="1" x14ac:dyDescent="0.2">
      <c r="A387" s="196">
        <f t="shared" si="312"/>
        <v>12</v>
      </c>
      <c r="B387" s="197" t="s">
        <v>326</v>
      </c>
      <c r="C387" s="210">
        <f t="shared" si="340"/>
        <v>12</v>
      </c>
      <c r="D387" s="199">
        <f t="shared" si="367"/>
        <v>59</v>
      </c>
      <c r="E387" s="231" t="s">
        <v>220</v>
      </c>
      <c r="F387" s="213">
        <f t="shared" si="326"/>
        <v>59</v>
      </c>
      <c r="G387" s="201"/>
      <c r="H387" s="231" t="s">
        <v>109</v>
      </c>
      <c r="I387" s="321">
        <v>383</v>
      </c>
      <c r="J387" s="202" t="s">
        <v>49</v>
      </c>
      <c r="K387" s="292">
        <f>$K$7</f>
        <v>0.61476653593485509</v>
      </c>
      <c r="L387" s="331">
        <f>L$7</f>
        <v>0.60281256238823122</v>
      </c>
      <c r="M387" s="342">
        <f>M$7</f>
        <v>2.7500000000000004</v>
      </c>
      <c r="N387" s="342">
        <f t="shared" si="365"/>
        <v>0.13750000000000001</v>
      </c>
      <c r="O387" s="342">
        <f>O$7</f>
        <v>0.13750000000000001</v>
      </c>
      <c r="P387" s="203">
        <f>$P$7</f>
        <v>20</v>
      </c>
      <c r="Q387" s="203">
        <f>'Invoer en resultaat'!$H$9</f>
        <v>100</v>
      </c>
      <c r="R387" s="203">
        <f t="shared" si="366"/>
        <v>80</v>
      </c>
      <c r="S387" s="357">
        <f>$S$7</f>
        <v>4</v>
      </c>
      <c r="T387" s="354">
        <v>0.1</v>
      </c>
      <c r="U387" s="190">
        <v>0</v>
      </c>
      <c r="V387" s="174">
        <f>$V$7</f>
        <v>0</v>
      </c>
      <c r="W387" s="140"/>
      <c r="X387" s="140"/>
      <c r="Y387" s="207" t="str">
        <f>$Y$7</f>
        <v>Damwand Twinwood 80% EU naaldhout, 20% azobe hardhout</v>
      </c>
    </row>
    <row r="388" spans="1:25" s="205" customFormat="1" ht="14.25" customHeight="1" x14ac:dyDescent="0.2">
      <c r="A388" s="196">
        <f t="shared" si="312"/>
        <v>12</v>
      </c>
      <c r="B388" s="197" t="s">
        <v>326</v>
      </c>
      <c r="C388" s="210">
        <f t="shared" si="340"/>
        <v>12</v>
      </c>
      <c r="D388" s="199">
        <f t="shared" si="367"/>
        <v>59</v>
      </c>
      <c r="E388" s="231" t="s">
        <v>220</v>
      </c>
      <c r="F388" s="213">
        <f t="shared" si="326"/>
        <v>59</v>
      </c>
      <c r="G388" s="201"/>
      <c r="H388" s="231" t="s">
        <v>110</v>
      </c>
      <c r="I388" s="321">
        <v>384</v>
      </c>
      <c r="J388" s="202" t="s">
        <v>49</v>
      </c>
      <c r="K388" s="292">
        <f>$K$8</f>
        <v>0.84824025085611443</v>
      </c>
      <c r="L388" s="331">
        <f>L$8</f>
        <v>0.8435310752627877</v>
      </c>
      <c r="M388" s="342">
        <f>M$8</f>
        <v>2.1666825396825398</v>
      </c>
      <c r="N388" s="342">
        <f t="shared" si="365"/>
        <v>5.4167063492063496E-2</v>
      </c>
      <c r="O388" s="342">
        <f>O$8</f>
        <v>5.4167063492063496E-2</v>
      </c>
      <c r="P388" s="203">
        <f>$P$8</f>
        <v>40</v>
      </c>
      <c r="Q388" s="203">
        <f>'Invoer en resultaat'!$H$9</f>
        <v>100</v>
      </c>
      <c r="R388" s="203">
        <f t="shared" si="366"/>
        <v>60</v>
      </c>
      <c r="S388" s="357">
        <f>$S$8</f>
        <v>2</v>
      </c>
      <c r="T388" s="354">
        <v>0.1</v>
      </c>
      <c r="U388" s="190">
        <v>0</v>
      </c>
      <c r="V388" s="174" t="str">
        <f>$V$8</f>
        <v>Kunststof: gerecycled PE</v>
      </c>
      <c r="W388" s="140"/>
      <c r="X388" s="207"/>
      <c r="Y388" s="207" t="str">
        <f>$Y$8</f>
        <v>Combi-plank gerecycled kunststof en Europees naaldhout</v>
      </c>
    </row>
    <row r="389" spans="1:25" s="205" customFormat="1" ht="14.25" customHeight="1" x14ac:dyDescent="0.2">
      <c r="A389" s="196">
        <f t="shared" si="312"/>
        <v>12</v>
      </c>
      <c r="B389" s="197" t="s">
        <v>326</v>
      </c>
      <c r="C389" s="210">
        <f t="shared" si="340"/>
        <v>12</v>
      </c>
      <c r="D389" s="199">
        <f t="shared" si="367"/>
        <v>59</v>
      </c>
      <c r="E389" s="231" t="s">
        <v>220</v>
      </c>
      <c r="F389" s="213">
        <f t="shared" si="326"/>
        <v>59</v>
      </c>
      <c r="G389" s="201"/>
      <c r="H389" s="231" t="s">
        <v>111</v>
      </c>
      <c r="I389" s="321">
        <v>385</v>
      </c>
      <c r="J389" s="202" t="s">
        <v>49</v>
      </c>
      <c r="K389" s="292">
        <f>$K$9</f>
        <v>-1.4514483244422856</v>
      </c>
      <c r="L389" s="331">
        <f>L$9</f>
        <v>-1</v>
      </c>
      <c r="M389" s="342">
        <f>M$9</f>
        <v>26.249599999999997</v>
      </c>
      <c r="N389" s="342">
        <f t="shared" si="365"/>
        <v>0.87498666666666658</v>
      </c>
      <c r="O389" s="342">
        <f>O$9</f>
        <v>0.71385283380650466</v>
      </c>
      <c r="P389" s="203">
        <f>$P$9</f>
        <v>30</v>
      </c>
      <c r="Q389" s="203">
        <f>'Invoer en resultaat'!$H$9</f>
        <v>100</v>
      </c>
      <c r="R389" s="203">
        <f t="shared" si="366"/>
        <v>70</v>
      </c>
      <c r="S389" s="357">
        <f>$S$9</f>
        <v>3</v>
      </c>
      <c r="T389" s="354">
        <v>0.04</v>
      </c>
      <c r="U389" s="190">
        <v>0</v>
      </c>
      <c r="W389" s="140"/>
      <c r="X389" s="184"/>
      <c r="Y389" s="207" t="str">
        <f>$Y$9</f>
        <v>Damwand PCV nieuw</v>
      </c>
    </row>
    <row r="390" spans="1:25" s="205" customFormat="1" ht="14.25" customHeight="1" x14ac:dyDescent="0.2">
      <c r="A390" s="196">
        <f t="shared" si="312"/>
        <v>12</v>
      </c>
      <c r="B390" s="197" t="s">
        <v>326</v>
      </c>
      <c r="C390" s="210">
        <f t="shared" si="340"/>
        <v>12</v>
      </c>
      <c r="D390" s="199">
        <f t="shared" si="367"/>
        <v>59</v>
      </c>
      <c r="E390" s="231" t="s">
        <v>220</v>
      </c>
      <c r="F390" s="213">
        <f t="shared" si="326"/>
        <v>59</v>
      </c>
      <c r="G390" s="201"/>
      <c r="H390" s="231" t="s">
        <v>112</v>
      </c>
      <c r="I390" s="321">
        <v>386</v>
      </c>
      <c r="J390" s="202" t="s">
        <v>49</v>
      </c>
      <c r="K390" s="292">
        <f>$K$10</f>
        <v>-0.79219082619314851</v>
      </c>
      <c r="L390" s="331">
        <f>L$10</f>
        <v>-0.8478033410062229</v>
      </c>
      <c r="M390" s="342">
        <f>M$10</f>
        <v>19.190407499999999</v>
      </c>
      <c r="N390" s="342">
        <f t="shared" si="365"/>
        <v>0.63968024999999995</v>
      </c>
      <c r="O390" s="342">
        <f>O$10</f>
        <v>0.63968024999999995</v>
      </c>
      <c r="P390" s="203">
        <f>$P$10</f>
        <v>30</v>
      </c>
      <c r="Q390" s="203">
        <f>'Invoer en resultaat'!$H$9</f>
        <v>100</v>
      </c>
      <c r="R390" s="203">
        <f t="shared" si="366"/>
        <v>70</v>
      </c>
      <c r="S390" s="357">
        <f>$S$10</f>
        <v>3</v>
      </c>
      <c r="T390" s="354">
        <v>0.04</v>
      </c>
      <c r="U390" s="190">
        <v>0</v>
      </c>
      <c r="W390" s="140"/>
      <c r="X390" s="184"/>
      <c r="Y390" s="207" t="str">
        <f>$Y$10</f>
        <v>Damwand PVC Gerecycled, enkel scherm (ProLock, Omega)</v>
      </c>
    </row>
    <row r="391" spans="1:25" s="205" customFormat="1" ht="14.25" customHeight="1" x14ac:dyDescent="0.2">
      <c r="A391" s="196">
        <f t="shared" si="312"/>
        <v>12</v>
      </c>
      <c r="B391" s="197" t="s">
        <v>326</v>
      </c>
      <c r="C391" s="210">
        <f t="shared" si="340"/>
        <v>12</v>
      </c>
      <c r="D391" s="199">
        <f t="shared" si="367"/>
        <v>59</v>
      </c>
      <c r="E391" s="231" t="s">
        <v>220</v>
      </c>
      <c r="F391" s="213">
        <f t="shared" si="326"/>
        <v>59</v>
      </c>
      <c r="G391" s="201"/>
      <c r="H391" s="231" t="s">
        <v>113</v>
      </c>
      <c r="I391" s="321">
        <v>387</v>
      </c>
      <c r="J391" s="202" t="s">
        <v>49</v>
      </c>
      <c r="K391" s="292">
        <f>$K$11</f>
        <v>-0.7539049236853943</v>
      </c>
      <c r="L391" s="331">
        <f>L$11</f>
        <v>-0.80832940913841056</v>
      </c>
      <c r="M391" s="342">
        <f>M$11</f>
        <v>31.300750000000001</v>
      </c>
      <c r="N391" s="342">
        <f t="shared" si="365"/>
        <v>0.62601499999999999</v>
      </c>
      <c r="O391" s="342">
        <f>O$11</f>
        <v>0.62601499999999999</v>
      </c>
      <c r="P391" s="203">
        <f>$P$11</f>
        <v>50</v>
      </c>
      <c r="Q391" s="203">
        <f>'Invoer en resultaat'!$H$9</f>
        <v>100</v>
      </c>
      <c r="R391" s="203">
        <f t="shared" si="366"/>
        <v>50</v>
      </c>
      <c r="S391" s="357">
        <f>$S$11</f>
        <v>1</v>
      </c>
      <c r="T391" s="354">
        <v>0.05</v>
      </c>
      <c r="U391" s="190">
        <v>0</v>
      </c>
      <c r="W391" s="140"/>
      <c r="X391" s="184"/>
      <c r="Y391" s="207" t="str">
        <f>$Y$11</f>
        <v>Damwand PE nieuw</v>
      </c>
    </row>
    <row r="392" spans="1:25" s="205" customFormat="1" ht="14.25" customHeight="1" x14ac:dyDescent="0.2">
      <c r="A392" s="196">
        <f t="shared" si="312"/>
        <v>12</v>
      </c>
      <c r="B392" s="197" t="s">
        <v>326</v>
      </c>
      <c r="C392" s="210">
        <f t="shared" si="340"/>
        <v>12</v>
      </c>
      <c r="D392" s="199">
        <f t="shared" si="367"/>
        <v>59</v>
      </c>
      <c r="E392" s="231" t="s">
        <v>220</v>
      </c>
      <c r="F392" s="213">
        <f t="shared" si="326"/>
        <v>59</v>
      </c>
      <c r="G392" s="201"/>
      <c r="H392" s="231" t="s">
        <v>114</v>
      </c>
      <c r="I392" s="321">
        <v>388</v>
      </c>
      <c r="J392" s="202" t="s">
        <v>49</v>
      </c>
      <c r="K392" s="292">
        <f>$K$12</f>
        <v>-0.34414311964486144</v>
      </c>
      <c r="L392" s="331">
        <f>L$12</f>
        <v>-0.38585250575466734</v>
      </c>
      <c r="M392" s="342">
        <f>M$12</f>
        <v>23.988009375000001</v>
      </c>
      <c r="N392" s="342">
        <f t="shared" si="365"/>
        <v>0.47976018749999999</v>
      </c>
      <c r="O392" s="342">
        <f>O$12</f>
        <v>0.47976018749999999</v>
      </c>
      <c r="P392" s="203">
        <f>$P$12</f>
        <v>50</v>
      </c>
      <c r="Q392" s="203">
        <f>'Invoer en resultaat'!$H$9</f>
        <v>100</v>
      </c>
      <c r="R392" s="203">
        <f t="shared" si="366"/>
        <v>50</v>
      </c>
      <c r="S392" s="357">
        <f>$S$12</f>
        <v>1</v>
      </c>
      <c r="T392" s="354">
        <v>0.05</v>
      </c>
      <c r="U392" s="190">
        <v>0</v>
      </c>
      <c r="W392" s="140"/>
      <c r="X392" s="184"/>
      <c r="Y392" s="207" t="str">
        <f>$Y$12</f>
        <v>Damwand PE gerecycled</v>
      </c>
    </row>
    <row r="393" spans="1:25" s="205" customFormat="1" ht="14.25" customHeight="1" x14ac:dyDescent="0.2">
      <c r="A393" s="196">
        <f t="shared" si="312"/>
        <v>12</v>
      </c>
      <c r="B393" s="197" t="s">
        <v>326</v>
      </c>
      <c r="C393" s="210">
        <f t="shared" si="340"/>
        <v>12</v>
      </c>
      <c r="D393" s="199">
        <f t="shared" si="367"/>
        <v>59</v>
      </c>
      <c r="E393" s="231" t="s">
        <v>220</v>
      </c>
      <c r="F393" s="213">
        <f t="shared" si="326"/>
        <v>59</v>
      </c>
      <c r="G393" s="201"/>
      <c r="H393" s="231" t="s">
        <v>660</v>
      </c>
      <c r="I393" s="321">
        <v>389</v>
      </c>
      <c r="J393" s="202" t="s">
        <v>49</v>
      </c>
      <c r="K393" s="292">
        <f>$K$13</f>
        <v>-0.22558719032280861</v>
      </c>
      <c r="L393" s="331">
        <f>L$13</f>
        <v>-0.26361773081012818</v>
      </c>
      <c r="M393" s="342">
        <f>M$13</f>
        <v>26.246666666666666</v>
      </c>
      <c r="N393" s="342">
        <f t="shared" si="365"/>
        <v>0.43744444444444441</v>
      </c>
      <c r="O393" s="342">
        <f>O$13</f>
        <v>0.43744444444444441</v>
      </c>
      <c r="P393" s="203">
        <f>$P$13</f>
        <v>60</v>
      </c>
      <c r="Q393" s="203">
        <f>'Invoer en resultaat'!$H$9</f>
        <v>100</v>
      </c>
      <c r="R393" s="203">
        <f t="shared" si="366"/>
        <v>40</v>
      </c>
      <c r="S393" s="357">
        <f>$S$13</f>
        <v>1</v>
      </c>
      <c r="T393" s="354">
        <v>0.04</v>
      </c>
      <c r="U393" s="190"/>
      <c r="W393" s="140"/>
      <c r="X393" s="184"/>
      <c r="Y393" s="207" t="str">
        <f>$Y$13</f>
        <v>Damwand, kunststof vezelversterkt</v>
      </c>
    </row>
    <row r="394" spans="1:25" s="205" customFormat="1" ht="14.25" customHeight="1" x14ac:dyDescent="0.2">
      <c r="A394" s="196">
        <f t="shared" ref="A394" si="378">C394</f>
        <v>12</v>
      </c>
      <c r="B394" s="197" t="s">
        <v>326</v>
      </c>
      <c r="C394" s="210">
        <f t="shared" ref="C394" si="379">IF(B394=B393,C393,C393+1)</f>
        <v>12</v>
      </c>
      <c r="D394" s="199">
        <f t="shared" ref="D394" si="380">F394</f>
        <v>59</v>
      </c>
      <c r="E394" s="231" t="s">
        <v>220</v>
      </c>
      <c r="F394" s="213">
        <f t="shared" ref="F394" si="381">IF(E394=E393,F393,F393+1)</f>
        <v>59</v>
      </c>
      <c r="G394" s="201"/>
      <c r="H394" s="231" t="s">
        <v>658</v>
      </c>
      <c r="I394" s="321">
        <v>390</v>
      </c>
      <c r="J394" s="202" t="s">
        <v>49</v>
      </c>
      <c r="K394" s="292">
        <f>K$14</f>
        <v>-9.4626552786749585E-2</v>
      </c>
      <c r="L394" s="331">
        <f t="shared" ref="L394:Y394" si="382">L$14</f>
        <v>-0.12859332378676869</v>
      </c>
      <c r="M394" s="342">
        <f t="shared" si="382"/>
        <v>23.442067999999999</v>
      </c>
      <c r="N394" s="342">
        <f t="shared" si="382"/>
        <v>0.39070113333333334</v>
      </c>
      <c r="O394" s="342">
        <f t="shared" si="382"/>
        <v>0.39070113333333334</v>
      </c>
      <c r="P394" s="203">
        <f t="shared" si="382"/>
        <v>60</v>
      </c>
      <c r="Q394" s="203">
        <f t="shared" si="382"/>
        <v>100</v>
      </c>
      <c r="R394" s="488">
        <f t="shared" si="382"/>
        <v>40</v>
      </c>
      <c r="S394" s="354">
        <f t="shared" si="382"/>
        <v>1</v>
      </c>
      <c r="T394" s="354">
        <v>0.04</v>
      </c>
      <c r="U394" s="190"/>
      <c r="V394" s="207">
        <f t="shared" si="382"/>
        <v>0</v>
      </c>
      <c r="W394" s="184"/>
      <c r="X394" s="184"/>
      <c r="Y394" s="205" t="str">
        <f t="shared" si="382"/>
        <v>GVK, glasvezels in polyester, biobased hars</v>
      </c>
    </row>
    <row r="395" spans="1:25" s="205" customFormat="1" ht="14.25" customHeight="1" x14ac:dyDescent="0.2">
      <c r="A395" s="196">
        <f t="shared" si="312"/>
        <v>12</v>
      </c>
      <c r="B395" s="197" t="s">
        <v>326</v>
      </c>
      <c r="C395" s="210">
        <f>IF(B395=B393,C393,C393+1)</f>
        <v>12</v>
      </c>
      <c r="D395" s="199">
        <f t="shared" si="367"/>
        <v>59</v>
      </c>
      <c r="E395" s="231" t="s">
        <v>220</v>
      </c>
      <c r="F395" s="213">
        <f>IF(E395=E393,F393,F393+1)</f>
        <v>59</v>
      </c>
      <c r="G395" s="201"/>
      <c r="H395" s="231" t="s">
        <v>159</v>
      </c>
      <c r="I395" s="321">
        <v>391</v>
      </c>
      <c r="J395" s="202" t="s">
        <v>49</v>
      </c>
      <c r="K395" s="292">
        <f>$K$15</f>
        <v>0.22982313000735932</v>
      </c>
      <c r="L395" s="331">
        <f>L$15</f>
        <v>0.20592418355301723</v>
      </c>
      <c r="M395" s="342">
        <f>M$15</f>
        <v>20.617235294117645</v>
      </c>
      <c r="N395" s="342">
        <f t="shared" si="365"/>
        <v>0.27489647058823524</v>
      </c>
      <c r="O395" s="342">
        <f>O$15</f>
        <v>0.27489647058823524</v>
      </c>
      <c r="P395" s="203">
        <f>$P$15</f>
        <v>75</v>
      </c>
      <c r="Q395" s="203">
        <f>'Invoer en resultaat'!$H$9</f>
        <v>100</v>
      </c>
      <c r="R395" s="203">
        <f t="shared" si="366"/>
        <v>25</v>
      </c>
      <c r="S395" s="357">
        <f>$S$15</f>
        <v>1</v>
      </c>
      <c r="T395" s="354">
        <v>0.01</v>
      </c>
      <c r="U395" s="190">
        <v>0</v>
      </c>
      <c r="V395" s="174"/>
      <c r="W395" s="140" t="s">
        <v>653</v>
      </c>
      <c r="X395" s="140"/>
      <c r="Y395" s="207" t="str">
        <f>$Y$15</f>
        <v>Damwand Staal, constructiestaal</v>
      </c>
    </row>
    <row r="396" spans="1:25" s="205" customFormat="1" ht="14.25" customHeight="1" x14ac:dyDescent="0.2">
      <c r="A396" s="196">
        <f t="shared" si="312"/>
        <v>12</v>
      </c>
      <c r="B396" s="197" t="s">
        <v>326</v>
      </c>
      <c r="C396" s="210">
        <f t="shared" si="340"/>
        <v>12</v>
      </c>
      <c r="D396" s="199">
        <f t="shared" si="367"/>
        <v>59</v>
      </c>
      <c r="E396" s="231" t="s">
        <v>220</v>
      </c>
      <c r="F396" s="213">
        <f t="shared" si="326"/>
        <v>59</v>
      </c>
      <c r="G396" s="201"/>
      <c r="H396" s="231" t="s">
        <v>160</v>
      </c>
      <c r="I396" s="321">
        <v>392</v>
      </c>
      <c r="J396" s="202" t="s">
        <v>49</v>
      </c>
      <c r="K396" s="292">
        <f>$K$16</f>
        <v>0.22982313000735932</v>
      </c>
      <c r="L396" s="331">
        <f>L$16</f>
        <v>0.20592418355301723</v>
      </c>
      <c r="M396" s="342">
        <f>M$16</f>
        <v>20.617235294117645</v>
      </c>
      <c r="N396" s="342">
        <f t="shared" si="365"/>
        <v>0.27489647058823524</v>
      </c>
      <c r="O396" s="342">
        <f>O$16</f>
        <v>0.27489647058823524</v>
      </c>
      <c r="P396" s="203">
        <f>$P$16</f>
        <v>75</v>
      </c>
      <c r="Q396" s="203">
        <f>'Invoer en resultaat'!$H$9</f>
        <v>100</v>
      </c>
      <c r="R396" s="203">
        <f t="shared" si="366"/>
        <v>25</v>
      </c>
      <c r="S396" s="357">
        <f>$S$16</f>
        <v>1</v>
      </c>
      <c r="T396" s="354">
        <v>0.01</v>
      </c>
      <c r="U396" s="190">
        <v>0</v>
      </c>
      <c r="V396" s="174"/>
      <c r="W396" s="140" t="s">
        <v>653</v>
      </c>
      <c r="X396" s="140"/>
      <c r="Y396" s="207" t="str">
        <f>$Y$16</f>
        <v>Damwand Staal, constructiestaal</v>
      </c>
    </row>
    <row r="397" spans="1:25" s="205" customFormat="1" ht="14.25" customHeight="1" x14ac:dyDescent="0.2">
      <c r="A397" s="196">
        <f t="shared" si="312"/>
        <v>12</v>
      </c>
      <c r="B397" s="197" t="s">
        <v>326</v>
      </c>
      <c r="C397" s="210">
        <f t="shared" si="340"/>
        <v>12</v>
      </c>
      <c r="D397" s="199">
        <f t="shared" si="367"/>
        <v>59</v>
      </c>
      <c r="E397" s="231" t="s">
        <v>220</v>
      </c>
      <c r="F397" s="213">
        <f t="shared" si="326"/>
        <v>59</v>
      </c>
      <c r="G397" s="201"/>
      <c r="H397" s="231" t="s">
        <v>161</v>
      </c>
      <c r="I397" s="321">
        <v>393</v>
      </c>
      <c r="J397" s="202" t="s">
        <v>49</v>
      </c>
      <c r="K397" s="292">
        <f>$K$17</f>
        <v>-0.38631836598675329</v>
      </c>
      <c r="L397" s="331">
        <f>L$17</f>
        <v>-0.42933646960456895</v>
      </c>
      <c r="M397" s="342">
        <f>M$17</f>
        <v>24.740682352941171</v>
      </c>
      <c r="N397" s="342">
        <f t="shared" si="365"/>
        <v>0.49481364705882341</v>
      </c>
      <c r="O397" s="342">
        <f>O$17</f>
        <v>0.49481364705882341</v>
      </c>
      <c r="P397" s="203">
        <f>$P$17</f>
        <v>50</v>
      </c>
      <c r="Q397" s="203">
        <f>'Invoer en resultaat'!$H$9</f>
        <v>100</v>
      </c>
      <c r="R397" s="203">
        <f t="shared" si="366"/>
        <v>50</v>
      </c>
      <c r="S397" s="357">
        <f>$S$17</f>
        <v>1</v>
      </c>
      <c r="T397" s="354">
        <v>1.2E-2</v>
      </c>
      <c r="U397" s="190">
        <v>0</v>
      </c>
      <c r="V397" s="174"/>
      <c r="W397" s="140" t="s">
        <v>653</v>
      </c>
      <c r="X397" s="140"/>
      <c r="Y397" s="207" t="str">
        <f>$Y$17</f>
        <v>Damwand Staal, constructiestaal</v>
      </c>
    </row>
    <row r="398" spans="1:25" s="205" customFormat="1" ht="14.25" customHeight="1" x14ac:dyDescent="0.2">
      <c r="A398" s="196">
        <f t="shared" ref="A398" si="383">C398</f>
        <v>12</v>
      </c>
      <c r="B398" s="197" t="s">
        <v>326</v>
      </c>
      <c r="C398" s="210">
        <f t="shared" ref="C398" si="384">IF(B398=B397,C397,C397+1)</f>
        <v>12</v>
      </c>
      <c r="D398" s="199">
        <f t="shared" ref="D398" si="385">F398</f>
        <v>59</v>
      </c>
      <c r="E398" s="231" t="s">
        <v>220</v>
      </c>
      <c r="F398" s="213">
        <f t="shared" ref="F398" si="386">IF(E398=E397,F397,F397+1)</f>
        <v>59</v>
      </c>
      <c r="G398" s="201"/>
      <c r="H398" s="231" t="str">
        <f>$H$18</f>
        <v>beton, 30% granulaat</v>
      </c>
      <c r="I398" s="321">
        <v>394</v>
      </c>
      <c r="J398" s="202" t="str">
        <f>$J$18</f>
        <v>m2</v>
      </c>
      <c r="K398" s="292">
        <f>$K$17</f>
        <v>-0.38631836598675329</v>
      </c>
      <c r="L398" s="331">
        <f>L$18</f>
        <v>0.79213237805656589</v>
      </c>
      <c r="M398" s="342">
        <f>M$18</f>
        <v>5.3970358785288726</v>
      </c>
      <c r="N398" s="342">
        <f t="shared" si="365"/>
        <v>7.1960478380384968E-2</v>
      </c>
      <c r="O398" s="342">
        <f t="shared" ref="O398:Y398" si="387">O$18</f>
        <v>7.1960478380384968E-2</v>
      </c>
      <c r="P398" s="203">
        <f t="shared" si="387"/>
        <v>75</v>
      </c>
      <c r="Q398" s="203">
        <f t="shared" si="387"/>
        <v>100</v>
      </c>
      <c r="R398" s="203">
        <f t="shared" si="366"/>
        <v>25</v>
      </c>
      <c r="S398" s="357">
        <f t="shared" si="387"/>
        <v>1</v>
      </c>
      <c r="T398" s="354">
        <v>0.12</v>
      </c>
      <c r="U398" s="190"/>
      <c r="V398" s="140">
        <f t="shared" si="387"/>
        <v>0</v>
      </c>
      <c r="W398" s="140"/>
      <c r="X398" s="140"/>
      <c r="Y398" s="140" t="str">
        <f t="shared" si="387"/>
        <v>Damwand, Beton 30% granulaat</v>
      </c>
    </row>
    <row r="399" spans="1:25" s="220" customFormat="1" ht="14.25" customHeight="1" x14ac:dyDescent="0.2">
      <c r="A399" s="208">
        <f>C399</f>
        <v>12</v>
      </c>
      <c r="B399" s="209" t="s">
        <v>326</v>
      </c>
      <c r="C399" s="210">
        <f>IF(B399=B397,C397,C397+1)</f>
        <v>12</v>
      </c>
      <c r="D399" s="211">
        <f>F399</f>
        <v>59</v>
      </c>
      <c r="E399" s="232" t="s">
        <v>220</v>
      </c>
      <c r="F399" s="213">
        <f>IF(E399=E397,F397,F397+1)</f>
        <v>59</v>
      </c>
      <c r="G399" s="214"/>
      <c r="H399" s="232" t="s">
        <v>1</v>
      </c>
      <c r="I399" s="321">
        <v>395</v>
      </c>
      <c r="J399" s="215" t="s">
        <v>49</v>
      </c>
      <c r="K399" s="296">
        <f>$K$19</f>
        <v>0.79765126719986634</v>
      </c>
      <c r="L399" s="331">
        <f>L$19</f>
        <v>0.7913722919167725</v>
      </c>
      <c r="M399" s="345">
        <f>M$19</f>
        <v>5.4167706122448971</v>
      </c>
      <c r="N399" s="345">
        <f>IFERROR(IF(Q399&lt;P399,M399/Q399,M399/P399),"")</f>
        <v>7.2223608163265299E-2</v>
      </c>
      <c r="O399" s="345">
        <f>O$19</f>
        <v>7.2223608163265299E-2</v>
      </c>
      <c r="P399" s="216">
        <f>$P$19</f>
        <v>75</v>
      </c>
      <c r="Q399" s="203">
        <f>'Invoer en resultaat'!$H$9</f>
        <v>100</v>
      </c>
      <c r="R399" s="203">
        <f>Q399-P399</f>
        <v>25</v>
      </c>
      <c r="S399" s="358">
        <f>$S$19</f>
        <v>1</v>
      </c>
      <c r="T399" s="359">
        <v>0.12</v>
      </c>
      <c r="U399" s="217">
        <v>0</v>
      </c>
      <c r="V399" s="218">
        <f>$V$19</f>
        <v>0</v>
      </c>
      <c r="W399" s="229"/>
      <c r="X399" s="219"/>
      <c r="Y399" s="219" t="str">
        <f>Y234</f>
        <v>Duiker PVC</v>
      </c>
    </row>
    <row r="400" spans="1:25" s="510" customFormat="1" x14ac:dyDescent="0.2">
      <c r="A400" s="494">
        <f>C400</f>
        <v>12</v>
      </c>
      <c r="B400" s="495" t="str">
        <f>B399</f>
        <v>Dijk, Kering</v>
      </c>
      <c r="C400" s="496">
        <f>IF(B400=B399,C399,C399+1)</f>
        <v>12</v>
      </c>
      <c r="D400" s="497">
        <f>F400</f>
        <v>59</v>
      </c>
      <c r="E400" s="232" t="str">
        <f>E399</f>
        <v>Damwandplanken (in oever, op waterlijn)</v>
      </c>
      <c r="F400" s="213">
        <f>IF(E400=E399,F399,F399+1)</f>
        <v>59</v>
      </c>
      <c r="G400" s="214"/>
      <c r="H400" s="232" t="s">
        <v>669</v>
      </c>
      <c r="I400" s="321">
        <v>396</v>
      </c>
      <c r="J400" s="501" t="s">
        <v>49</v>
      </c>
      <c r="K400" s="502"/>
      <c r="L400" s="503"/>
      <c r="M400" s="504"/>
      <c r="N400" s="504"/>
      <c r="O400" s="504"/>
      <c r="P400" s="505">
        <v>50</v>
      </c>
      <c r="Q400" s="513">
        <f>'Invoer en resultaat'!$H$9</f>
        <v>100</v>
      </c>
      <c r="R400" s="513">
        <f>Q400-P400</f>
        <v>50</v>
      </c>
      <c r="S400" s="514">
        <f>IF(Q400&lt;P400,0,ROUNDDOWN(Q400/P400-0.01,0))</f>
        <v>1</v>
      </c>
      <c r="T400" s="506"/>
      <c r="U400" s="507"/>
      <c r="V400" s="508" t="s">
        <v>668</v>
      </c>
      <c r="W400" s="509"/>
      <c r="X400" s="509"/>
      <c r="Y400" s="509"/>
    </row>
    <row r="401" spans="1:26" s="205" customFormat="1" ht="14.25" customHeight="1" x14ac:dyDescent="0.2">
      <c r="A401" s="196">
        <f t="shared" si="312"/>
        <v>12</v>
      </c>
      <c r="B401" s="197" t="s">
        <v>326</v>
      </c>
      <c r="C401" s="210">
        <f>IF(B401=B399,C399,C399+1)</f>
        <v>12</v>
      </c>
      <c r="D401" s="199">
        <f t="shared" si="367"/>
        <v>60</v>
      </c>
      <c r="E401" s="175" t="s">
        <v>10</v>
      </c>
      <c r="F401" s="213">
        <f>IF(E401=E399,F399,F399+1)</f>
        <v>60</v>
      </c>
      <c r="G401" s="201"/>
      <c r="H401" s="205" t="s">
        <v>619</v>
      </c>
      <c r="I401" s="321">
        <v>397</v>
      </c>
      <c r="J401" s="202" t="s">
        <v>49</v>
      </c>
      <c r="K401" s="296">
        <f>1-(N401/AVERAGE($N$401:$N$402))</f>
        <v>-0.60718057022175276</v>
      </c>
      <c r="L401" s="331">
        <f>IF(K401&gt;-1,1-(O401/AVERAGE($O$401:$O$402)),1-(O401/AVERAGE($N$401:$N$402)))</f>
        <v>-0.60718057022175276</v>
      </c>
      <c r="M401" s="345">
        <f>'MKI-waarden'!D112</f>
        <v>7.61</v>
      </c>
      <c r="N401" s="345">
        <f t="shared" ref="N401:N402" si="388">IFERROR(IF(Q401&lt;P401,M401/Q401,M401/P401),"")</f>
        <v>0.10146666666666668</v>
      </c>
      <c r="O401" s="345">
        <f>IF(K401&lt;-1,(2*AVERAGE($N$380:$N$384)),N401)</f>
        <v>0.10146666666666668</v>
      </c>
      <c r="P401" s="216">
        <v>75</v>
      </c>
      <c r="Q401" s="203">
        <f>'Invoer en resultaat'!$H$9</f>
        <v>100</v>
      </c>
      <c r="R401" s="203">
        <f t="shared" ref="R401:R402" si="389">Q401-P401</f>
        <v>25</v>
      </c>
      <c r="S401" s="358">
        <f t="shared" ref="S401:S402" si="390">IF(Q401&lt;P401,0,ROUNDDOWN(Q401/P401-0.01,0))</f>
        <v>1</v>
      </c>
      <c r="T401" s="359"/>
      <c r="U401" s="217"/>
      <c r="V401" s="174" t="s">
        <v>622</v>
      </c>
      <c r="W401" s="140" t="s">
        <v>618</v>
      </c>
      <c r="X401" s="140"/>
      <c r="Y401" s="140" t="str">
        <f>'MKI-waarden'!A112</f>
        <v>Staafmathekwerk</v>
      </c>
    </row>
    <row r="402" spans="1:26" s="220" customFormat="1" ht="14.25" customHeight="1" x14ac:dyDescent="0.2">
      <c r="A402" s="208">
        <f t="shared" si="312"/>
        <v>12</v>
      </c>
      <c r="B402" s="209" t="s">
        <v>326</v>
      </c>
      <c r="C402" s="210">
        <f t="shared" si="340"/>
        <v>12</v>
      </c>
      <c r="D402" s="211">
        <f t="shared" si="367"/>
        <v>60</v>
      </c>
      <c r="E402" s="212" t="s">
        <v>10</v>
      </c>
      <c r="F402" s="213">
        <f t="shared" si="326"/>
        <v>60</v>
      </c>
      <c r="G402" s="214"/>
      <c r="H402" s="220" t="s">
        <v>620</v>
      </c>
      <c r="I402" s="321">
        <v>398</v>
      </c>
      <c r="J402" s="215" t="s">
        <v>49</v>
      </c>
      <c r="K402" s="296">
        <f>1-(N402/AVERAGE($N$401:$N$402))</f>
        <v>0.60718057022175298</v>
      </c>
      <c r="L402" s="331">
        <f>IF(K402&gt;-1,1-(O402/AVERAGE($O$401:$O$402)),1-(O402/AVERAGE($N$401:$N$402)))</f>
        <v>0.60718057022175298</v>
      </c>
      <c r="M402" s="345">
        <f>'MKI-waarden'!D111</f>
        <v>1.86</v>
      </c>
      <c r="N402" s="345">
        <f t="shared" si="388"/>
        <v>2.4800000000000003E-2</v>
      </c>
      <c r="O402" s="345">
        <f>IF(K402&lt;-1,(2*AVERAGE($N$380:$N$384)),N402)</f>
        <v>2.4800000000000003E-2</v>
      </c>
      <c r="P402" s="216">
        <v>75</v>
      </c>
      <c r="Q402" s="203">
        <f>'Invoer en resultaat'!$H$9</f>
        <v>100</v>
      </c>
      <c r="R402" s="203">
        <f t="shared" si="389"/>
        <v>25</v>
      </c>
      <c r="S402" s="358">
        <f t="shared" si="390"/>
        <v>1</v>
      </c>
      <c r="T402" s="359"/>
      <c r="U402" s="217">
        <v>0</v>
      </c>
      <c r="V402" s="218" t="s">
        <v>623</v>
      </c>
      <c r="W402" s="229" t="s">
        <v>617</v>
      </c>
      <c r="X402" s="229"/>
      <c r="Y402" s="140" t="str">
        <f>'MKI-waarden'!A111</f>
        <v>Gaashekwerk</v>
      </c>
    </row>
    <row r="403" spans="1:26" s="205" customFormat="1" ht="14.25" customHeight="1" x14ac:dyDescent="0.2">
      <c r="A403" s="196">
        <f t="shared" si="312"/>
        <v>13</v>
      </c>
      <c r="B403" s="197" t="s">
        <v>63</v>
      </c>
      <c r="C403" s="210">
        <f t="shared" si="340"/>
        <v>13</v>
      </c>
      <c r="D403" s="199">
        <f t="shared" si="367"/>
        <v>61</v>
      </c>
      <c r="E403" s="231" t="s">
        <v>62</v>
      </c>
      <c r="F403" s="213">
        <f t="shared" si="326"/>
        <v>61</v>
      </c>
      <c r="G403" s="201"/>
      <c r="H403" s="231" t="s">
        <v>90</v>
      </c>
      <c r="I403" s="321">
        <v>399</v>
      </c>
      <c r="J403" s="221" t="s">
        <v>50</v>
      </c>
      <c r="K403" s="292">
        <f>$K$55</f>
        <v>0.52190882455171894</v>
      </c>
      <c r="L403" s="331">
        <f>L$55</f>
        <v>0.26882353194751751</v>
      </c>
      <c r="M403" s="342">
        <f>M$55</f>
        <v>1.4737034161490683</v>
      </c>
      <c r="N403" s="342">
        <f t="shared" si="365"/>
        <v>2.9474068322981366E-2</v>
      </c>
      <c r="O403" s="342">
        <f>O$55</f>
        <v>2.9474068322981366E-2</v>
      </c>
      <c r="P403" s="203">
        <f>$P$55</f>
        <v>50</v>
      </c>
      <c r="Q403" s="203">
        <f>'Invoer en resultaat'!$H$9</f>
        <v>100</v>
      </c>
      <c r="R403" s="203">
        <f t="shared" si="366"/>
        <v>50</v>
      </c>
      <c r="S403" s="357">
        <f>$S$55</f>
        <v>1</v>
      </c>
      <c r="T403" s="354">
        <f>$T$55</f>
        <v>0</v>
      </c>
      <c r="U403" s="190">
        <f>$U$55</f>
        <v>0.15</v>
      </c>
      <c r="V403" s="174">
        <f>$V$55</f>
        <v>0</v>
      </c>
      <c r="W403" s="140">
        <f>$W$55</f>
        <v>0</v>
      </c>
      <c r="X403" s="140">
        <f>$X$55</f>
        <v>0</v>
      </c>
      <c r="Y403" s="140" t="str">
        <f>$Y$55</f>
        <v>Houten lariks paal met betonopzetter</v>
      </c>
    </row>
    <row r="404" spans="1:26" s="205" customFormat="1" ht="14.25" customHeight="1" x14ac:dyDescent="0.2">
      <c r="A404" s="196">
        <f t="shared" si="312"/>
        <v>13</v>
      </c>
      <c r="B404" s="197" t="s">
        <v>63</v>
      </c>
      <c r="C404" s="210">
        <f t="shared" si="340"/>
        <v>13</v>
      </c>
      <c r="D404" s="199">
        <f t="shared" si="367"/>
        <v>61</v>
      </c>
      <c r="E404" s="231" t="s">
        <v>62</v>
      </c>
      <c r="F404" s="213">
        <f t="shared" si="326"/>
        <v>61</v>
      </c>
      <c r="G404" s="201"/>
      <c r="H404" s="231" t="s">
        <v>4</v>
      </c>
      <c r="I404" s="321">
        <v>400</v>
      </c>
      <c r="J404" s="221" t="s">
        <v>50</v>
      </c>
      <c r="K404" s="292">
        <f>$K$56</f>
        <v>0.10571095814782272</v>
      </c>
      <c r="L404" s="331">
        <f>L$56</f>
        <v>-0.36769540334310014</v>
      </c>
      <c r="M404" s="342">
        <f>M$56</f>
        <v>5.5132446850393713</v>
      </c>
      <c r="N404" s="342">
        <f t="shared" si="365"/>
        <v>5.5132446850393715E-2</v>
      </c>
      <c r="O404" s="342">
        <f>O$56</f>
        <v>5.5132446850393715E-2</v>
      </c>
      <c r="P404" s="203">
        <f>$P$56</f>
        <v>100</v>
      </c>
      <c r="Q404" s="203">
        <f>'Invoer en resultaat'!$H$9</f>
        <v>100</v>
      </c>
      <c r="R404" s="203">
        <f t="shared" si="366"/>
        <v>0</v>
      </c>
      <c r="S404" s="357">
        <f>$S$56</f>
        <v>0</v>
      </c>
      <c r="T404" s="354">
        <f>$T$56</f>
        <v>0.01</v>
      </c>
      <c r="U404" s="190">
        <f>$U$56</f>
        <v>0.15</v>
      </c>
      <c r="V404" s="174">
        <f>$V$56</f>
        <v>0</v>
      </c>
      <c r="W404" s="140" t="str">
        <f>$W$56</f>
        <v>Holle buis met diameter: 150 mm</v>
      </c>
      <c r="X404" s="140">
        <f>$X$56</f>
        <v>0</v>
      </c>
      <c r="Y404" s="140" t="str">
        <f>$Y$56</f>
        <v>Buispaal, Staal</v>
      </c>
    </row>
    <row r="405" spans="1:26" s="205" customFormat="1" ht="14.25" customHeight="1" x14ac:dyDescent="0.2">
      <c r="A405" s="196">
        <f t="shared" ref="A405:A464" si="391">C405</f>
        <v>13</v>
      </c>
      <c r="B405" s="197" t="s">
        <v>63</v>
      </c>
      <c r="C405" s="210">
        <f t="shared" si="340"/>
        <v>13</v>
      </c>
      <c r="D405" s="199">
        <f t="shared" si="367"/>
        <v>61</v>
      </c>
      <c r="E405" s="231" t="s">
        <v>62</v>
      </c>
      <c r="F405" s="213">
        <f t="shared" si="326"/>
        <v>61</v>
      </c>
      <c r="G405" s="201"/>
      <c r="H405" s="231" t="s">
        <v>59</v>
      </c>
      <c r="I405" s="321">
        <v>401</v>
      </c>
      <c r="J405" s="221" t="s">
        <v>50</v>
      </c>
      <c r="K405" s="292">
        <f>$K$57</f>
        <v>-3.0768061090229342</v>
      </c>
      <c r="L405" s="331">
        <f>L$57</f>
        <v>-1</v>
      </c>
      <c r="M405" s="342">
        <f>M$57</f>
        <v>25.133294226613152</v>
      </c>
      <c r="N405" s="342">
        <f t="shared" si="365"/>
        <v>0.25133294226613151</v>
      </c>
      <c r="O405" s="342">
        <f>O$57</f>
        <v>0.12329894311621657</v>
      </c>
      <c r="P405" s="203">
        <f>$P$57</f>
        <v>100</v>
      </c>
      <c r="Q405" s="203">
        <f>'Invoer en resultaat'!$H$9</f>
        <v>100</v>
      </c>
      <c r="R405" s="203">
        <f t="shared" si="366"/>
        <v>0</v>
      </c>
      <c r="S405" s="357">
        <f>$S$57</f>
        <v>0</v>
      </c>
      <c r="T405" s="354">
        <f>$T$57</f>
        <v>0.01</v>
      </c>
      <c r="U405" s="190">
        <f>$U$57</f>
        <v>0.15</v>
      </c>
      <c r="V405" s="174">
        <f>$V$57</f>
        <v>0</v>
      </c>
      <c r="W405" s="140">
        <f>$W$57</f>
        <v>0</v>
      </c>
      <c r="X405" s="140">
        <f>$X$57</f>
        <v>0</v>
      </c>
      <c r="Y405" s="140" t="str">
        <f>$Y$57</f>
        <v>Funderingspaal met C20/25 0% betongranulaat Lafgarge Holcim Limburg</v>
      </c>
      <c r="Z405" s="220"/>
    </row>
    <row r="406" spans="1:26" s="205" customFormat="1" ht="14.25" customHeight="1" x14ac:dyDescent="0.2">
      <c r="A406" s="196">
        <f t="shared" ref="A406" si="392">C406</f>
        <v>13</v>
      </c>
      <c r="B406" s="197" t="s">
        <v>63</v>
      </c>
      <c r="C406" s="210">
        <f t="shared" si="340"/>
        <v>13</v>
      </c>
      <c r="D406" s="199">
        <f t="shared" ref="D406" si="393">F406</f>
        <v>61</v>
      </c>
      <c r="E406" s="231" t="s">
        <v>62</v>
      </c>
      <c r="F406" s="213">
        <f t="shared" si="326"/>
        <v>61</v>
      </c>
      <c r="G406" s="201"/>
      <c r="H406" s="231" t="s">
        <v>357</v>
      </c>
      <c r="I406" s="321">
        <v>402</v>
      </c>
      <c r="J406" s="221" t="s">
        <v>50</v>
      </c>
      <c r="K406" s="292">
        <f>1-(N406/AVERAGE($N$55:$N$60))</f>
        <v>0.78398881121688002</v>
      </c>
      <c r="L406" s="331">
        <f>IF(K406&gt;-1,1-(O406/AVERAGE($O$55:$O$60)),1-(O406/AVERAGE($N$55:$N$60)))</f>
        <v>0.66963979637113058</v>
      </c>
      <c r="M406" s="342">
        <f>M$58</f>
        <v>1.3316975639118114</v>
      </c>
      <c r="N406" s="342">
        <f t="shared" si="365"/>
        <v>1.3316975639118114E-2</v>
      </c>
      <c r="O406" s="342">
        <f t="shared" ref="O406:U406" si="394">O$58</f>
        <v>1.3316975639118114E-2</v>
      </c>
      <c r="P406" s="203">
        <f t="shared" si="394"/>
        <v>100</v>
      </c>
      <c r="Q406" s="203">
        <f>'Invoer en resultaat'!$H$9</f>
        <v>100</v>
      </c>
      <c r="R406" s="203">
        <f t="shared" si="366"/>
        <v>0</v>
      </c>
      <c r="S406" s="357">
        <f t="shared" si="394"/>
        <v>0</v>
      </c>
      <c r="T406" s="354">
        <f t="shared" si="394"/>
        <v>0</v>
      </c>
      <c r="U406" s="190">
        <f t="shared" si="394"/>
        <v>0.2</v>
      </c>
      <c r="V406" s="174"/>
      <c r="W406" s="140" t="str">
        <f>$W$58</f>
        <v>dikte is diameter</v>
      </c>
      <c r="X406" s="140">
        <f>$X$58</f>
        <v>0</v>
      </c>
      <c r="Y406" s="140" t="str">
        <f>$Y$58</f>
        <v>Betonmortel C20/25 CEM I 30% granulaat – in situ voor GWW</v>
      </c>
    </row>
    <row r="407" spans="1:26" s="205" customFormat="1" ht="14.25" customHeight="1" x14ac:dyDescent="0.2">
      <c r="A407" s="196">
        <f t="shared" si="391"/>
        <v>13</v>
      </c>
      <c r="B407" s="197" t="s">
        <v>63</v>
      </c>
      <c r="C407" s="210">
        <f t="shared" si="340"/>
        <v>13</v>
      </c>
      <c r="D407" s="199">
        <f t="shared" si="367"/>
        <v>61</v>
      </c>
      <c r="E407" s="231" t="s">
        <v>62</v>
      </c>
      <c r="F407" s="213">
        <f t="shared" si="326"/>
        <v>61</v>
      </c>
      <c r="G407" s="201"/>
      <c r="H407" s="231" t="s">
        <v>274</v>
      </c>
      <c r="I407" s="321">
        <v>403</v>
      </c>
      <c r="J407" s="221" t="s">
        <v>50</v>
      </c>
      <c r="K407" s="292">
        <f>$K$59</f>
        <v>0.87947110543834461</v>
      </c>
      <c r="L407" s="331">
        <f>L$59</f>
        <v>0.81566718661722137</v>
      </c>
      <c r="M407" s="342">
        <f>M$59</f>
        <v>0.74305426572090061</v>
      </c>
      <c r="N407" s="342">
        <f t="shared" si="365"/>
        <v>7.430542657209006E-3</v>
      </c>
      <c r="O407" s="342">
        <f>O$59</f>
        <v>7.430542657209006E-3</v>
      </c>
      <c r="P407" s="203">
        <f>$P$59</f>
        <v>100</v>
      </c>
      <c r="Q407" s="203">
        <f>'Invoer en resultaat'!$H$9</f>
        <v>100</v>
      </c>
      <c r="R407" s="203">
        <f t="shared" si="366"/>
        <v>0</v>
      </c>
      <c r="S407" s="357">
        <f>$S$59</f>
        <v>0</v>
      </c>
      <c r="T407" s="354">
        <f>$T$59</f>
        <v>0</v>
      </c>
      <c r="U407" s="190">
        <f>$U$59</f>
        <v>0.15</v>
      </c>
      <c r="V407" s="174">
        <f>$V$59</f>
        <v>0</v>
      </c>
      <c r="W407" s="140" t="str">
        <f>$W$59</f>
        <v>dikte is diameter</v>
      </c>
      <c r="X407" s="140">
        <f>$X$59</f>
        <v>0</v>
      </c>
      <c r="Y407" s="140" t="str">
        <f>$Y$59</f>
        <v>Betonmortel C20/25 (CEM I)</v>
      </c>
    </row>
    <row r="408" spans="1:26" s="220" customFormat="1" ht="14.25" customHeight="1" x14ac:dyDescent="0.2">
      <c r="A408" s="208">
        <f t="shared" si="391"/>
        <v>13</v>
      </c>
      <c r="B408" s="209" t="s">
        <v>63</v>
      </c>
      <c r="C408" s="210">
        <f t="shared" si="340"/>
        <v>13</v>
      </c>
      <c r="D408" s="211">
        <f t="shared" si="367"/>
        <v>61</v>
      </c>
      <c r="E408" s="232" t="s">
        <v>62</v>
      </c>
      <c r="F408" s="213">
        <f t="shared" si="326"/>
        <v>61</v>
      </c>
      <c r="G408" s="214"/>
      <c r="H408" s="232" t="s">
        <v>92</v>
      </c>
      <c r="I408" s="321">
        <v>404</v>
      </c>
      <c r="J408" s="228" t="s">
        <v>50</v>
      </c>
      <c r="K408" s="296">
        <f>$K$60</f>
        <v>0.7857264096681682</v>
      </c>
      <c r="L408" s="331">
        <f>L$60</f>
        <v>0.67229722065283815</v>
      </c>
      <c r="M408" s="345">
        <f>M$60</f>
        <v>1.3209853612816012</v>
      </c>
      <c r="N408" s="345">
        <f t="shared" si="365"/>
        <v>1.3209853612816012E-2</v>
      </c>
      <c r="O408" s="345">
        <f>O$60</f>
        <v>1.3209853612816012E-2</v>
      </c>
      <c r="P408" s="216">
        <f>$P$60</f>
        <v>100</v>
      </c>
      <c r="Q408" s="203">
        <f>'Invoer en resultaat'!$H$9</f>
        <v>100</v>
      </c>
      <c r="R408" s="203">
        <f t="shared" si="366"/>
        <v>0</v>
      </c>
      <c r="S408" s="358">
        <f>$S$60</f>
        <v>0</v>
      </c>
      <c r="T408" s="359">
        <f>$T$60</f>
        <v>0</v>
      </c>
      <c r="U408" s="217">
        <f>$U$60</f>
        <v>0.2</v>
      </c>
      <c r="V408" s="218">
        <f>$V$60</f>
        <v>0</v>
      </c>
      <c r="W408" s="140" t="str">
        <f>$W$60</f>
        <v>dikte is diameter</v>
      </c>
      <c r="X408" s="140">
        <f>$X$60</f>
        <v>0</v>
      </c>
      <c r="Y408" s="140" t="str">
        <f>$Y$60</f>
        <v>Betonmortel C20/25 (CEM I)</v>
      </c>
    </row>
    <row r="409" spans="1:26" s="205" customFormat="1" ht="14.25" customHeight="1" x14ac:dyDescent="0.2">
      <c r="A409" s="196">
        <f t="shared" si="391"/>
        <v>13</v>
      </c>
      <c r="B409" s="197" t="s">
        <v>63</v>
      </c>
      <c r="C409" s="210">
        <f t="shared" si="340"/>
        <v>13</v>
      </c>
      <c r="D409" s="199">
        <f t="shared" si="367"/>
        <v>62</v>
      </c>
      <c r="E409" s="227" t="s">
        <v>94</v>
      </c>
      <c r="F409" s="213">
        <f t="shared" ref="F409:F464" si="395">IF(E409=E408,F408,F408+1)</f>
        <v>62</v>
      </c>
      <c r="G409" s="201"/>
      <c r="H409" s="205" t="s">
        <v>660</v>
      </c>
      <c r="I409" s="321">
        <v>405</v>
      </c>
      <c r="J409" s="233" t="s">
        <v>49</v>
      </c>
      <c r="K409" s="292">
        <f t="shared" ref="K409:K415" si="396">1-(N409/AVERAGE($N$409:$N$415))</f>
        <v>0.23943587512008757</v>
      </c>
      <c r="L409" s="331">
        <f>IF(K409&gt;-1,1-(O409/AVERAGE($O$5:$O$19)),1-(O409/AVERAGE($N$5:$N$19)))</f>
        <v>0.82309351768658201</v>
      </c>
      <c r="M409" s="344">
        <f>T409/'MKI-waarden'!N38*'MKI-waarden'!D38</f>
        <v>4.5931666666666668</v>
      </c>
      <c r="N409" s="344">
        <f t="shared" si="365"/>
        <v>6.1242222222222226E-2</v>
      </c>
      <c r="O409" s="344">
        <f t="shared" ref="O409:O415" si="397">IF(K409&lt;-1,(2*AVERAGE($N$409:$N$415)),N409)</f>
        <v>6.1242222222222226E-2</v>
      </c>
      <c r="P409" s="234">
        <v>75</v>
      </c>
      <c r="Q409" s="203">
        <f>'Invoer en resultaat'!$H$9</f>
        <v>100</v>
      </c>
      <c r="R409" s="203">
        <f t="shared" si="366"/>
        <v>25</v>
      </c>
      <c r="S409" s="357">
        <f t="shared" ref="S409:S457" si="398">IF(Q409&lt;P409,0,ROUNDDOWN(Q409/P409-0.01,0))</f>
        <v>1</v>
      </c>
      <c r="T409" s="363">
        <v>7.0000000000000001E-3</v>
      </c>
      <c r="U409" s="235">
        <v>0</v>
      </c>
      <c r="W409" s="140" t="s">
        <v>173</v>
      </c>
      <c r="X409" s="184"/>
      <c r="Y409" s="140" t="str">
        <f>'MKI-waarden'!A38</f>
        <v>Damwand, kunststof vezelversterkt</v>
      </c>
    </row>
    <row r="410" spans="1:26" s="205" customFormat="1" ht="14.25" customHeight="1" x14ac:dyDescent="0.2">
      <c r="A410" s="196">
        <f t="shared" ref="A410" si="399">C410</f>
        <v>13</v>
      </c>
      <c r="B410" s="197" t="s">
        <v>63</v>
      </c>
      <c r="C410" s="210">
        <f t="shared" ref="C410" si="400">IF(B410=B409,C409,C409+1)</f>
        <v>13</v>
      </c>
      <c r="D410" s="199">
        <f t="shared" ref="D410" si="401">F410</f>
        <v>62</v>
      </c>
      <c r="E410" s="227" t="s">
        <v>94</v>
      </c>
      <c r="F410" s="213">
        <f t="shared" si="395"/>
        <v>62</v>
      </c>
      <c r="G410" s="201"/>
      <c r="H410" s="205" t="s">
        <v>658</v>
      </c>
      <c r="I410" s="321">
        <v>406</v>
      </c>
      <c r="J410" s="233" t="s">
        <v>49</v>
      </c>
      <c r="K410" s="292">
        <f t="shared" si="396"/>
        <v>0.32070627633494797</v>
      </c>
      <c r="L410" s="331">
        <f>IF(K410&gt;-1,1-(O410/AVERAGE($O$5:$O$19)),1-(O410/AVERAGE($N$5:$N$19)))</f>
        <v>0.84199693466985237</v>
      </c>
      <c r="M410" s="344">
        <f>T410/'MKI-waarden'!N126*'MKI-waarden'!D126</f>
        <v>4.1023619</v>
      </c>
      <c r="N410" s="344">
        <f t="shared" si="365"/>
        <v>5.469815866666667E-2</v>
      </c>
      <c r="O410" s="344">
        <f t="shared" si="397"/>
        <v>5.469815866666667E-2</v>
      </c>
      <c r="P410" s="234">
        <v>75</v>
      </c>
      <c r="Q410" s="203">
        <f>'Invoer en resultaat'!$H$9</f>
        <v>100</v>
      </c>
      <c r="R410" s="204">
        <v>0</v>
      </c>
      <c r="S410" s="357">
        <f t="shared" si="398"/>
        <v>1</v>
      </c>
      <c r="T410" s="363">
        <v>7.0000000000000001E-3</v>
      </c>
      <c r="U410" s="235"/>
      <c r="W410" s="140" t="s">
        <v>173</v>
      </c>
      <c r="X410" s="184"/>
      <c r="Y410" s="140" t="str">
        <f>'MKI-waarden'!$A$128</f>
        <v>GVK, glasvezels in polyester, biobased hars</v>
      </c>
    </row>
    <row r="411" spans="1:26" s="205" customFormat="1" ht="14.25" customHeight="1" x14ac:dyDescent="0.2">
      <c r="A411" s="196">
        <f t="shared" si="391"/>
        <v>13</v>
      </c>
      <c r="B411" s="197" t="s">
        <v>63</v>
      </c>
      <c r="C411" s="210">
        <f>IF(B411=B409,C409,C409+1)</f>
        <v>13</v>
      </c>
      <c r="D411" s="199">
        <f t="shared" si="367"/>
        <v>62</v>
      </c>
      <c r="E411" s="227" t="s">
        <v>94</v>
      </c>
      <c r="F411" s="213">
        <f>IF(E411=E409,F409,F409+1)</f>
        <v>62</v>
      </c>
      <c r="G411" s="201"/>
      <c r="H411" s="205" t="s">
        <v>150</v>
      </c>
      <c r="I411" s="321">
        <v>407</v>
      </c>
      <c r="J411" s="221" t="s">
        <v>49</v>
      </c>
      <c r="K411" s="292">
        <f t="shared" si="396"/>
        <v>-1.5604442409054116</v>
      </c>
      <c r="L411" s="331">
        <f>IF(K411&gt;-1.5,1-(O411/AVERAGE($O$409:$O$415)),1-(O411/AVERAGE($N$409:$N$415)))</f>
        <v>-1</v>
      </c>
      <c r="M411" s="342">
        <f>T411/'MKI-waarden'!$N$39*'MKI-waarden'!$D$39</f>
        <v>10.308617647058822</v>
      </c>
      <c r="N411" s="342">
        <f t="shared" si="365"/>
        <v>0.20617235294117645</v>
      </c>
      <c r="O411" s="342">
        <f t="shared" si="397"/>
        <v>0.16104420447622855</v>
      </c>
      <c r="P411" s="234">
        <v>50</v>
      </c>
      <c r="Q411" s="203">
        <f>'Invoer en resultaat'!$H$9</f>
        <v>100</v>
      </c>
      <c r="R411" s="203">
        <f t="shared" si="366"/>
        <v>50</v>
      </c>
      <c r="S411" s="357">
        <f t="shared" si="398"/>
        <v>1</v>
      </c>
      <c r="T411" s="363">
        <v>5.0000000000000001E-3</v>
      </c>
      <c r="U411" s="235">
        <v>0</v>
      </c>
      <c r="W411" s="140" t="s">
        <v>173</v>
      </c>
      <c r="X411" s="140"/>
      <c r="Y411" s="140" t="str">
        <f>'MKI-waarden'!$A$39</f>
        <v>Damwand Staal, constructiestaal</v>
      </c>
    </row>
    <row r="412" spans="1:26" s="205" customFormat="1" ht="14.25" customHeight="1" x14ac:dyDescent="0.2">
      <c r="A412" s="196">
        <f t="shared" si="391"/>
        <v>13</v>
      </c>
      <c r="B412" s="197" t="s">
        <v>63</v>
      </c>
      <c r="C412" s="210">
        <f t="shared" si="340"/>
        <v>13</v>
      </c>
      <c r="D412" s="199">
        <f t="shared" si="367"/>
        <v>62</v>
      </c>
      <c r="E412" s="227" t="s">
        <v>94</v>
      </c>
      <c r="F412" s="213">
        <f t="shared" si="395"/>
        <v>62</v>
      </c>
      <c r="G412" s="201"/>
      <c r="H412" s="205" t="s">
        <v>1</v>
      </c>
      <c r="I412" s="321">
        <v>408</v>
      </c>
      <c r="J412" s="221" t="s">
        <v>49</v>
      </c>
      <c r="K412" s="292">
        <f t="shared" si="396"/>
        <v>0.32729394021199232</v>
      </c>
      <c r="L412" s="331">
        <f>IF(K412&gt;-1.5,1-(O412/AVERAGE($O$409:$O$415)),1-(O412/AVERAGE($N$409:$N$415)))</f>
        <v>0.26750407249231711</v>
      </c>
      <c r="M412" s="342">
        <f>T412/'MKI-waarden'!$N$31*'MKI-waarden'!$D$31</f>
        <v>5.4167706122448971</v>
      </c>
      <c r="N412" s="342">
        <f t="shared" si="365"/>
        <v>5.4167706122448971E-2</v>
      </c>
      <c r="O412" s="342">
        <f t="shared" si="397"/>
        <v>5.4167706122448971E-2</v>
      </c>
      <c r="P412" s="203">
        <v>100</v>
      </c>
      <c r="Q412" s="203">
        <f>'Invoer en resultaat'!$H$9</f>
        <v>100</v>
      </c>
      <c r="R412" s="203">
        <f t="shared" si="366"/>
        <v>0</v>
      </c>
      <c r="S412" s="357">
        <f t="shared" si="398"/>
        <v>0</v>
      </c>
      <c r="T412" s="354">
        <v>0.12</v>
      </c>
      <c r="U412" s="190">
        <v>0</v>
      </c>
      <c r="W412" s="140" t="s">
        <v>173</v>
      </c>
      <c r="X412" s="140"/>
      <c r="Y412" s="140" t="str">
        <f>'MKI-waarden'!$A$31</f>
        <v>Damwand, Beton</v>
      </c>
    </row>
    <row r="413" spans="1:26" s="205" customFormat="1" ht="14.25" customHeight="1" x14ac:dyDescent="0.2">
      <c r="A413" s="196">
        <f t="shared" si="391"/>
        <v>13</v>
      </c>
      <c r="B413" s="197" t="s">
        <v>63</v>
      </c>
      <c r="C413" s="210">
        <f t="shared" si="340"/>
        <v>13</v>
      </c>
      <c r="D413" s="199">
        <f t="shared" si="367"/>
        <v>62</v>
      </c>
      <c r="E413" s="227" t="s">
        <v>94</v>
      </c>
      <c r="F413" s="213">
        <f t="shared" si="395"/>
        <v>62</v>
      </c>
      <c r="G413" s="201"/>
      <c r="H413" s="205" t="s">
        <v>47</v>
      </c>
      <c r="I413" s="321">
        <v>409</v>
      </c>
      <c r="J413" s="221" t="s">
        <v>49</v>
      </c>
      <c r="K413" s="292">
        <f t="shared" si="396"/>
        <v>0.89464594484985382</v>
      </c>
      <c r="L413" s="331">
        <f>IF(K413&gt;-1.5,1-(O413/AVERAGE($O$409:$O$415)),1-(O413/AVERAGE($N$409:$N$415)))</f>
        <v>0.88528211509166255</v>
      </c>
      <c r="M413" s="342">
        <f>T413/'MKI-waarden'!N106*'MKI-waarden'!D106</f>
        <v>0.84833299999999978</v>
      </c>
      <c r="N413" s="342">
        <f t="shared" si="365"/>
        <v>8.4833299999999973E-3</v>
      </c>
      <c r="O413" s="342">
        <f t="shared" si="397"/>
        <v>8.4833299999999973E-3</v>
      </c>
      <c r="P413" s="203">
        <v>100</v>
      </c>
      <c r="Q413" s="203">
        <f>'Invoer en resultaat'!$H$9</f>
        <v>100</v>
      </c>
      <c r="R413" s="203">
        <f t="shared" si="366"/>
        <v>0</v>
      </c>
      <c r="S413" s="357">
        <f t="shared" si="398"/>
        <v>0</v>
      </c>
      <c r="T413" s="354">
        <v>0.1</v>
      </c>
      <c r="U413" s="190">
        <v>0</v>
      </c>
      <c r="W413" s="140" t="s">
        <v>173</v>
      </c>
      <c r="X413" s="140"/>
      <c r="Y413" s="140" t="str">
        <f>'MKI-waarden'!$A$106</f>
        <v>Straatbaksteen GWW, KNB</v>
      </c>
    </row>
    <row r="414" spans="1:26" s="205" customFormat="1" ht="14.25" customHeight="1" x14ac:dyDescent="0.2">
      <c r="A414" s="196">
        <f t="shared" si="391"/>
        <v>13</v>
      </c>
      <c r="B414" s="197" t="s">
        <v>63</v>
      </c>
      <c r="C414" s="210">
        <f t="shared" si="340"/>
        <v>13</v>
      </c>
      <c r="D414" s="199">
        <f t="shared" si="367"/>
        <v>62</v>
      </c>
      <c r="E414" s="227" t="s">
        <v>94</v>
      </c>
      <c r="F414" s="213">
        <f t="shared" si="395"/>
        <v>62</v>
      </c>
      <c r="G414" s="201"/>
      <c r="H414" s="205" t="s">
        <v>104</v>
      </c>
      <c r="I414" s="321">
        <v>410</v>
      </c>
      <c r="J414" s="221" t="s">
        <v>49</v>
      </c>
      <c r="K414" s="292">
        <f t="shared" si="396"/>
        <v>0.78929188969970776</v>
      </c>
      <c r="L414" s="331">
        <f>IF(K414&gt;-1.5,1-(O414/AVERAGE($O$409:$O$415)),1-(O414/AVERAGE($N$409:$N$415)))</f>
        <v>0.77056423018332498</v>
      </c>
      <c r="M414" s="342">
        <f>M413*2</f>
        <v>1.6966659999999996</v>
      </c>
      <c r="N414" s="342">
        <f t="shared" si="365"/>
        <v>1.6966659999999995E-2</v>
      </c>
      <c r="O414" s="342">
        <f t="shared" si="397"/>
        <v>1.6966659999999995E-2</v>
      </c>
      <c r="P414" s="203">
        <v>100</v>
      </c>
      <c r="Q414" s="203">
        <f>'Invoer en resultaat'!$H$9</f>
        <v>100</v>
      </c>
      <c r="R414" s="203">
        <f t="shared" si="366"/>
        <v>0</v>
      </c>
      <c r="S414" s="357">
        <f t="shared" si="398"/>
        <v>0</v>
      </c>
      <c r="T414" s="354">
        <v>0.26</v>
      </c>
      <c r="U414" s="190">
        <v>0</v>
      </c>
      <c r="V414" s="205" t="s">
        <v>624</v>
      </c>
      <c r="W414" s="140" t="s">
        <v>174</v>
      </c>
      <c r="X414" s="140"/>
      <c r="Y414" s="140" t="str">
        <f>'MKI-waarden'!$A106</f>
        <v>Straatbaksteen GWW, KNB</v>
      </c>
    </row>
    <row r="415" spans="1:26" s="220" customFormat="1" ht="14.25" customHeight="1" x14ac:dyDescent="0.2">
      <c r="A415" s="208">
        <f t="shared" si="391"/>
        <v>13</v>
      </c>
      <c r="B415" s="209" t="s">
        <v>63</v>
      </c>
      <c r="C415" s="210">
        <f t="shared" si="340"/>
        <v>13</v>
      </c>
      <c r="D415" s="211">
        <f t="shared" si="367"/>
        <v>62</v>
      </c>
      <c r="E415" s="230" t="s">
        <v>94</v>
      </c>
      <c r="F415" s="213">
        <f t="shared" si="395"/>
        <v>62</v>
      </c>
      <c r="G415" s="214"/>
      <c r="H415" s="220" t="s">
        <v>95</v>
      </c>
      <c r="I415" s="321">
        <v>411</v>
      </c>
      <c r="J415" s="228" t="s">
        <v>49</v>
      </c>
      <c r="K415" s="296">
        <f t="shared" si="396"/>
        <v>-1.0109296853111784</v>
      </c>
      <c r="L415" s="332">
        <v>-1</v>
      </c>
      <c r="M415" s="345">
        <f>'MKI-waarden'!$D$78</f>
        <v>5.667349999999999</v>
      </c>
      <c r="N415" s="345">
        <f t="shared" si="365"/>
        <v>0.16192428571428569</v>
      </c>
      <c r="O415" s="345">
        <f t="shared" si="397"/>
        <v>0.16104420447622855</v>
      </c>
      <c r="P415" s="216">
        <v>35</v>
      </c>
      <c r="Q415" s="216">
        <f>'Invoer en resultaat'!$H$9</f>
        <v>100</v>
      </c>
      <c r="R415" s="203">
        <f t="shared" si="366"/>
        <v>65</v>
      </c>
      <c r="S415" s="358">
        <f t="shared" si="398"/>
        <v>2</v>
      </c>
      <c r="T415" s="359">
        <v>0.03</v>
      </c>
      <c r="U415" s="217">
        <v>0</v>
      </c>
      <c r="W415" s="229" t="s">
        <v>335</v>
      </c>
      <c r="X415" s="230" t="s">
        <v>267</v>
      </c>
      <c r="Y415" s="229" t="str">
        <f>'MKI-waarden'!$A$78</f>
        <v>Buitenbeglazing, Dubbel glas; droog beglaasd</v>
      </c>
    </row>
    <row r="416" spans="1:26" s="205" customFormat="1" ht="14.25" customHeight="1" x14ac:dyDescent="0.2">
      <c r="A416" s="196">
        <f t="shared" si="391"/>
        <v>13</v>
      </c>
      <c r="B416" s="197" t="s">
        <v>63</v>
      </c>
      <c r="C416" s="210">
        <f t="shared" si="340"/>
        <v>13</v>
      </c>
      <c r="D416" s="199">
        <f t="shared" si="367"/>
        <v>63</v>
      </c>
      <c r="E416" s="205" t="s">
        <v>37</v>
      </c>
      <c r="F416" s="213">
        <f t="shared" si="395"/>
        <v>63</v>
      </c>
      <c r="G416" s="201"/>
      <c r="H416" s="205" t="s">
        <v>276</v>
      </c>
      <c r="I416" s="321">
        <v>412</v>
      </c>
      <c r="J416" s="202" t="s">
        <v>49</v>
      </c>
      <c r="K416" s="292">
        <f t="shared" ref="K416:K425" si="402">1-(N416/AVERAGE($N$416:$N$425))</f>
        <v>0.41000695615356397</v>
      </c>
      <c r="L416" s="331">
        <f t="shared" ref="L416:L424" si="403">IF(K416&gt;-1,1-(O416/AVERAGE($O$416:$O$425)),1-(O416/AVERAGE($N$416:$N$425)))</f>
        <v>0.38115254229157014</v>
      </c>
      <c r="M416" s="342">
        <f>T416/'MKI-waarden'!N59*'MKI-waarden'!D59</f>
        <v>1.9728695000000003</v>
      </c>
      <c r="N416" s="342">
        <f t="shared" si="365"/>
        <v>4.9321737500000004E-2</v>
      </c>
      <c r="O416" s="342">
        <f t="shared" ref="O416:O425" si="404">IF(K416&lt;-1,(2*AVERAGE($N$416:$N$425)),N416)</f>
        <v>4.9321737500000004E-2</v>
      </c>
      <c r="P416" s="203">
        <v>40</v>
      </c>
      <c r="Q416" s="203">
        <f>'Invoer en resultaat'!$H$9</f>
        <v>100</v>
      </c>
      <c r="R416" s="203">
        <f t="shared" si="366"/>
        <v>60</v>
      </c>
      <c r="S416" s="357">
        <f t="shared" si="398"/>
        <v>2</v>
      </c>
      <c r="T416" s="354">
        <v>0.05</v>
      </c>
      <c r="U416" s="190">
        <v>0</v>
      </c>
      <c r="W416" s="140" t="s">
        <v>310</v>
      </c>
      <c r="X416" s="140"/>
      <c r="Y416" s="140" t="str">
        <f>'MKI-waarden'!$A$59</f>
        <v>Gewolmaniseerd hout (naaldhout)</v>
      </c>
    </row>
    <row r="417" spans="1:25" s="205" customFormat="1" ht="14.25" customHeight="1" x14ac:dyDescent="0.2">
      <c r="A417" s="196">
        <f t="shared" si="391"/>
        <v>13</v>
      </c>
      <c r="B417" s="197" t="s">
        <v>63</v>
      </c>
      <c r="C417" s="210">
        <f t="shared" si="340"/>
        <v>13</v>
      </c>
      <c r="D417" s="199">
        <f t="shared" si="367"/>
        <v>63</v>
      </c>
      <c r="E417" s="205" t="s">
        <v>37</v>
      </c>
      <c r="F417" s="213">
        <f t="shared" si="395"/>
        <v>63</v>
      </c>
      <c r="G417" s="201"/>
      <c r="H417" s="205" t="s">
        <v>13</v>
      </c>
      <c r="I417" s="321">
        <v>413</v>
      </c>
      <c r="J417" s="202" t="s">
        <v>49</v>
      </c>
      <c r="K417" s="292">
        <f t="shared" si="402"/>
        <v>-0.29374092809514063</v>
      </c>
      <c r="L417" s="331">
        <f t="shared" si="403"/>
        <v>-0.35701309131605719</v>
      </c>
      <c r="M417" s="342">
        <f>T417/'MKI-waarden'!N29*'MKI-waarden'!D29</f>
        <v>3.2445916666666661</v>
      </c>
      <c r="N417" s="342">
        <f t="shared" si="365"/>
        <v>0.10815305555555553</v>
      </c>
      <c r="O417" s="342">
        <f t="shared" si="404"/>
        <v>0.10815305555555553</v>
      </c>
      <c r="P417" s="203">
        <v>30</v>
      </c>
      <c r="Q417" s="203">
        <f>'Invoer en resultaat'!$H$9</f>
        <v>100</v>
      </c>
      <c r="R417" s="203">
        <f t="shared" si="366"/>
        <v>70</v>
      </c>
      <c r="S417" s="357">
        <f t="shared" si="398"/>
        <v>3</v>
      </c>
      <c r="T417" s="354">
        <v>0.05</v>
      </c>
      <c r="U417" s="190">
        <v>0</v>
      </c>
      <c r="W417" s="140" t="s">
        <v>310</v>
      </c>
      <c r="X417" s="140"/>
      <c r="Y417" s="140" t="str">
        <f>'MKI-waarden'!$A$29</f>
        <v>Damwand, tropisch hardhout, damwandplanken</v>
      </c>
    </row>
    <row r="418" spans="1:25" s="205" customFormat="1" ht="14.25" customHeight="1" x14ac:dyDescent="0.2">
      <c r="A418" s="196">
        <f t="shared" si="391"/>
        <v>13</v>
      </c>
      <c r="B418" s="197" t="s">
        <v>63</v>
      </c>
      <c r="C418" s="210">
        <f t="shared" si="340"/>
        <v>13</v>
      </c>
      <c r="D418" s="199">
        <f t="shared" si="367"/>
        <v>63</v>
      </c>
      <c r="E418" s="205" t="s">
        <v>37</v>
      </c>
      <c r="F418" s="213">
        <f t="shared" si="395"/>
        <v>63</v>
      </c>
      <c r="G418" s="201"/>
      <c r="H418" s="205" t="s">
        <v>105</v>
      </c>
      <c r="I418" s="321">
        <v>414</v>
      </c>
      <c r="J418" s="221" t="s">
        <v>49</v>
      </c>
      <c r="K418" s="292">
        <f t="shared" si="402"/>
        <v>-0.37375495219349042</v>
      </c>
      <c r="L418" s="331">
        <f t="shared" si="403"/>
        <v>-0.44094031030742742</v>
      </c>
      <c r="M418" s="342">
        <f>T418/'MKI-waarden'!N42*'MKI-waarden'!D42</f>
        <v>4.5936799999999991</v>
      </c>
      <c r="N418" s="342">
        <f t="shared" si="365"/>
        <v>0.11484199999999997</v>
      </c>
      <c r="O418" s="342">
        <f t="shared" si="404"/>
        <v>0.11484199999999997</v>
      </c>
      <c r="P418" s="203">
        <v>40</v>
      </c>
      <c r="Q418" s="203">
        <f>'Invoer en resultaat'!$H$9</f>
        <v>100</v>
      </c>
      <c r="R418" s="203">
        <f t="shared" si="366"/>
        <v>60</v>
      </c>
      <c r="S418" s="357">
        <f t="shared" si="398"/>
        <v>2</v>
      </c>
      <c r="T418" s="354">
        <v>7.0000000000000001E-3</v>
      </c>
      <c r="U418" s="190">
        <v>0</v>
      </c>
      <c r="W418" s="140" t="s">
        <v>310</v>
      </c>
      <c r="X418" s="140"/>
      <c r="Y418" s="140" t="str">
        <f>'MKI-waarden'!A42</f>
        <v>Damwand PCV nieuw</v>
      </c>
    </row>
    <row r="419" spans="1:25" s="205" customFormat="1" ht="14.25" customHeight="1" x14ac:dyDescent="0.2">
      <c r="A419" s="196">
        <f t="shared" si="391"/>
        <v>13</v>
      </c>
      <c r="B419" s="197" t="s">
        <v>63</v>
      </c>
      <c r="C419" s="210">
        <f t="shared" si="340"/>
        <v>13</v>
      </c>
      <c r="D419" s="199">
        <f t="shared" si="367"/>
        <v>63</v>
      </c>
      <c r="E419" s="205" t="s">
        <v>37</v>
      </c>
      <c r="F419" s="213">
        <f t="shared" si="395"/>
        <v>63</v>
      </c>
      <c r="G419" s="201"/>
      <c r="H419" s="205" t="s">
        <v>660</v>
      </c>
      <c r="I419" s="321">
        <v>415</v>
      </c>
      <c r="J419" s="221" t="s">
        <v>49</v>
      </c>
      <c r="K419" s="292">
        <f t="shared" si="402"/>
        <v>0.26741256629881016</v>
      </c>
      <c r="L419" s="331">
        <f t="shared" si="403"/>
        <v>0.23158437947087884</v>
      </c>
      <c r="M419" s="344">
        <f>T419/'MKI-waarden'!N38*'MKI-waarden'!D38</f>
        <v>4.5931666666666668</v>
      </c>
      <c r="N419" s="344">
        <f t="shared" si="365"/>
        <v>6.1242222222222226E-2</v>
      </c>
      <c r="O419" s="344">
        <f t="shared" si="404"/>
        <v>6.1242222222222226E-2</v>
      </c>
      <c r="P419" s="203">
        <v>75</v>
      </c>
      <c r="Q419" s="203">
        <f>'Invoer en resultaat'!$H$9</f>
        <v>100</v>
      </c>
      <c r="R419" s="203">
        <f t="shared" si="366"/>
        <v>25</v>
      </c>
      <c r="S419" s="357">
        <f t="shared" si="398"/>
        <v>1</v>
      </c>
      <c r="T419" s="354">
        <v>7.0000000000000001E-3</v>
      </c>
      <c r="U419" s="190">
        <v>0</v>
      </c>
      <c r="W419" s="140" t="s">
        <v>329</v>
      </c>
      <c r="X419" s="140" t="s">
        <v>288</v>
      </c>
      <c r="Y419" s="140" t="str">
        <f>'MKI-waarden'!A38</f>
        <v>Damwand, kunststof vezelversterkt</v>
      </c>
    </row>
    <row r="420" spans="1:25" s="205" customFormat="1" ht="14.25" customHeight="1" x14ac:dyDescent="0.2">
      <c r="A420" s="196">
        <f t="shared" ref="A420" si="405">C420</f>
        <v>13</v>
      </c>
      <c r="B420" s="197" t="s">
        <v>63</v>
      </c>
      <c r="C420" s="210">
        <f t="shared" ref="C420" si="406">IF(B420=B419,C419,C419+1)</f>
        <v>13</v>
      </c>
      <c r="D420" s="199">
        <f t="shared" ref="D420" si="407">F420</f>
        <v>63</v>
      </c>
      <c r="E420" s="205" t="s">
        <v>37</v>
      </c>
      <c r="F420" s="213">
        <f t="shared" ref="F420" si="408">IF(E420=E419,F419,F419+1)</f>
        <v>63</v>
      </c>
      <c r="G420" s="201"/>
      <c r="H420" s="205" t="s">
        <v>658</v>
      </c>
      <c r="I420" s="321">
        <v>416</v>
      </c>
      <c r="J420" s="221" t="s">
        <v>49</v>
      </c>
      <c r="K420" s="292">
        <f t="shared" si="402"/>
        <v>0.34569350634612206</v>
      </c>
      <c r="L420" s="331">
        <f t="shared" si="403"/>
        <v>0.31369375557381807</v>
      </c>
      <c r="M420" s="344">
        <f>T420/'MKI-waarden'!N126*'MKI-waarden'!D126</f>
        <v>4.1023619</v>
      </c>
      <c r="N420" s="344">
        <f t="shared" ref="N420" si="409">IFERROR(IF(Q420&lt;P420,M420/Q420,M420/P420),"")</f>
        <v>5.469815866666667E-2</v>
      </c>
      <c r="O420" s="344">
        <f t="shared" si="404"/>
        <v>5.469815866666667E-2</v>
      </c>
      <c r="P420" s="203">
        <v>75</v>
      </c>
      <c r="Q420" s="203">
        <f>'Invoer en resultaat'!$H$9</f>
        <v>100</v>
      </c>
      <c r="R420" s="203">
        <f t="shared" si="366"/>
        <v>25</v>
      </c>
      <c r="S420" s="357">
        <f t="shared" ref="S420" si="410">IF(Q420&lt;P420,0,ROUNDDOWN(Q420/P420-0.01,0))</f>
        <v>1</v>
      </c>
      <c r="T420" s="354">
        <v>7.0000000000000001E-3</v>
      </c>
      <c r="U420" s="190">
        <v>0</v>
      </c>
      <c r="W420" s="140" t="s">
        <v>329</v>
      </c>
      <c r="X420" s="140" t="s">
        <v>288</v>
      </c>
      <c r="Y420" s="140" t="str">
        <f>'MKI-waarden'!$A$128</f>
        <v>GVK, glasvezels in polyester, biobased hars</v>
      </c>
    </row>
    <row r="421" spans="1:25" s="205" customFormat="1" ht="14.25" customHeight="1" x14ac:dyDescent="0.2">
      <c r="A421" s="196">
        <f t="shared" si="391"/>
        <v>13</v>
      </c>
      <c r="B421" s="197" t="s">
        <v>63</v>
      </c>
      <c r="C421" s="210">
        <f>IF(B421=B419,C419,C419+1)</f>
        <v>13</v>
      </c>
      <c r="D421" s="199">
        <f t="shared" si="367"/>
        <v>63</v>
      </c>
      <c r="E421" s="205" t="s">
        <v>37</v>
      </c>
      <c r="F421" s="213">
        <f>IF(E421=E419,F419,F419+1)</f>
        <v>63</v>
      </c>
      <c r="G421" s="201"/>
      <c r="H421" s="205" t="s">
        <v>150</v>
      </c>
      <c r="I421" s="321">
        <v>417</v>
      </c>
      <c r="J421" s="221" t="s">
        <v>49</v>
      </c>
      <c r="K421" s="292">
        <f t="shared" si="402"/>
        <v>-1.4662605219199021</v>
      </c>
      <c r="L421" s="331">
        <f t="shared" si="403"/>
        <v>-1</v>
      </c>
      <c r="M421" s="342">
        <f>T421/'MKI-waarden'!$N$39*'MKI-waarden'!$D$39</f>
        <v>10.308617647058822</v>
      </c>
      <c r="N421" s="342">
        <f t="shared" si="365"/>
        <v>0.20617235294117645</v>
      </c>
      <c r="O421" s="342">
        <f t="shared" si="404"/>
        <v>0.16719430174447111</v>
      </c>
      <c r="P421" s="234">
        <v>50</v>
      </c>
      <c r="Q421" s="203">
        <f>'Invoer en resultaat'!$H$9</f>
        <v>100</v>
      </c>
      <c r="R421" s="203">
        <f t="shared" si="366"/>
        <v>50</v>
      </c>
      <c r="S421" s="357">
        <f t="shared" si="398"/>
        <v>1</v>
      </c>
      <c r="T421" s="363">
        <v>5.0000000000000001E-3</v>
      </c>
      <c r="U421" s="235">
        <v>0</v>
      </c>
      <c r="W421" s="140" t="s">
        <v>310</v>
      </c>
      <c r="X421" s="140" t="s">
        <v>267</v>
      </c>
      <c r="Y421" s="140" t="str">
        <f>'MKI-waarden'!$A$39</f>
        <v>Damwand Staal, constructiestaal</v>
      </c>
    </row>
    <row r="422" spans="1:25" s="205" customFormat="1" ht="14.25" customHeight="1" x14ac:dyDescent="0.2">
      <c r="A422" s="196">
        <f t="shared" si="391"/>
        <v>13</v>
      </c>
      <c r="B422" s="197" t="s">
        <v>63</v>
      </c>
      <c r="C422" s="210">
        <f t="shared" si="340"/>
        <v>13</v>
      </c>
      <c r="D422" s="199">
        <f t="shared" si="367"/>
        <v>63</v>
      </c>
      <c r="E422" s="205" t="s">
        <v>37</v>
      </c>
      <c r="F422" s="213">
        <f t="shared" si="395"/>
        <v>63</v>
      </c>
      <c r="G422" s="201"/>
      <c r="H422" s="205" t="s">
        <v>1</v>
      </c>
      <c r="I422" s="321">
        <v>418</v>
      </c>
      <c r="J422" s="221" t="s">
        <v>49</v>
      </c>
      <c r="K422" s="292">
        <f t="shared" si="402"/>
        <v>0.35203884872541447</v>
      </c>
      <c r="L422" s="331">
        <f t="shared" si="403"/>
        <v>0.32034942556971169</v>
      </c>
      <c r="M422" s="342">
        <f>T422/'MKI-waarden'!$N$31*'MKI-waarden'!$D$31</f>
        <v>5.4167706122448971</v>
      </c>
      <c r="N422" s="342">
        <f t="shared" si="365"/>
        <v>5.4167706122448971E-2</v>
      </c>
      <c r="O422" s="342">
        <f t="shared" si="404"/>
        <v>5.4167706122448971E-2</v>
      </c>
      <c r="P422" s="203">
        <v>100</v>
      </c>
      <c r="Q422" s="203">
        <f>'Invoer en resultaat'!$H$9</f>
        <v>100</v>
      </c>
      <c r="R422" s="203">
        <f t="shared" si="366"/>
        <v>0</v>
      </c>
      <c r="S422" s="357">
        <f t="shared" si="398"/>
        <v>0</v>
      </c>
      <c r="T422" s="354">
        <v>0.12</v>
      </c>
      <c r="U422" s="190">
        <v>0</v>
      </c>
      <c r="W422" s="140" t="s">
        <v>310</v>
      </c>
      <c r="X422" s="140"/>
      <c r="Y422" s="140" t="str">
        <f>'MKI-waarden'!$A$31</f>
        <v>Damwand, Beton</v>
      </c>
    </row>
    <row r="423" spans="1:25" s="205" customFormat="1" ht="14.25" customHeight="1" x14ac:dyDescent="0.2">
      <c r="A423" s="196">
        <f t="shared" si="391"/>
        <v>13</v>
      </c>
      <c r="B423" s="197" t="s">
        <v>63</v>
      </c>
      <c r="C423" s="210">
        <f t="shared" si="340"/>
        <v>13</v>
      </c>
      <c r="D423" s="199">
        <f t="shared" si="367"/>
        <v>63</v>
      </c>
      <c r="E423" s="205" t="s">
        <v>37</v>
      </c>
      <c r="F423" s="213">
        <f t="shared" si="395"/>
        <v>63</v>
      </c>
      <c r="G423" s="201"/>
      <c r="H423" s="205" t="s">
        <v>47</v>
      </c>
      <c r="I423" s="321">
        <v>419</v>
      </c>
      <c r="J423" s="221" t="s">
        <v>49</v>
      </c>
      <c r="K423" s="292">
        <f t="shared" si="402"/>
        <v>0.89852130232326499</v>
      </c>
      <c r="L423" s="331">
        <f t="shared" si="403"/>
        <v>0.89355834831646686</v>
      </c>
      <c r="M423" s="342">
        <f>T423/'MKI-waarden'!$N$106*'MKI-waarden'!$D$106</f>
        <v>0.84833299999999978</v>
      </c>
      <c r="N423" s="342">
        <f t="shared" si="365"/>
        <v>8.4833299999999973E-3</v>
      </c>
      <c r="O423" s="342">
        <f t="shared" si="404"/>
        <v>8.4833299999999973E-3</v>
      </c>
      <c r="P423" s="203">
        <v>100</v>
      </c>
      <c r="Q423" s="203">
        <f>'Invoer en resultaat'!$H$9</f>
        <v>100</v>
      </c>
      <c r="R423" s="203">
        <f t="shared" si="366"/>
        <v>0</v>
      </c>
      <c r="S423" s="357">
        <f t="shared" si="398"/>
        <v>0</v>
      </c>
      <c r="T423" s="354">
        <v>0.1</v>
      </c>
      <c r="U423" s="190">
        <v>0</v>
      </c>
      <c r="W423" s="140" t="s">
        <v>310</v>
      </c>
      <c r="X423" s="140"/>
      <c r="Y423" s="140" t="str">
        <f>'MKI-waarden'!$A106</f>
        <v>Straatbaksteen GWW, KNB</v>
      </c>
    </row>
    <row r="424" spans="1:25" s="205" customFormat="1" ht="14.25" customHeight="1" x14ac:dyDescent="0.2">
      <c r="A424" s="196">
        <f t="shared" si="391"/>
        <v>13</v>
      </c>
      <c r="B424" s="197" t="s">
        <v>63</v>
      </c>
      <c r="C424" s="210">
        <f t="shared" si="340"/>
        <v>13</v>
      </c>
      <c r="D424" s="199">
        <f t="shared" si="367"/>
        <v>63</v>
      </c>
      <c r="E424" s="205" t="s">
        <v>37</v>
      </c>
      <c r="F424" s="213">
        <f t="shared" si="395"/>
        <v>63</v>
      </c>
      <c r="G424" s="201"/>
      <c r="H424" s="205" t="s">
        <v>104</v>
      </c>
      <c r="I424" s="321">
        <v>420</v>
      </c>
      <c r="J424" s="221" t="s">
        <v>49</v>
      </c>
      <c r="K424" s="292">
        <f t="shared" si="402"/>
        <v>0.79704260464652998</v>
      </c>
      <c r="L424" s="331">
        <f t="shared" si="403"/>
        <v>0.78711669663293382</v>
      </c>
      <c r="M424" s="342">
        <f>M423*2</f>
        <v>1.6966659999999996</v>
      </c>
      <c r="N424" s="342">
        <f t="shared" si="365"/>
        <v>1.6966659999999995E-2</v>
      </c>
      <c r="O424" s="342">
        <f t="shared" si="404"/>
        <v>1.6966659999999995E-2</v>
      </c>
      <c r="P424" s="203">
        <v>100</v>
      </c>
      <c r="Q424" s="203">
        <f>'Invoer en resultaat'!$H$9</f>
        <v>100</v>
      </c>
      <c r="R424" s="203">
        <f t="shared" si="366"/>
        <v>0</v>
      </c>
      <c r="S424" s="357">
        <f t="shared" si="398"/>
        <v>0</v>
      </c>
      <c r="T424" s="354">
        <v>0.21</v>
      </c>
      <c r="U424" s="190">
        <v>0</v>
      </c>
      <c r="W424" s="140" t="s">
        <v>311</v>
      </c>
      <c r="X424" s="140"/>
      <c r="Y424" s="140" t="str">
        <f>'MKI-waarden'!$A$106</f>
        <v>Straatbaksteen GWW, KNB</v>
      </c>
    </row>
    <row r="425" spans="1:25" s="220" customFormat="1" ht="14.25" customHeight="1" x14ac:dyDescent="0.2">
      <c r="A425" s="208">
        <f>C425</f>
        <v>13</v>
      </c>
      <c r="B425" s="209" t="s">
        <v>63</v>
      </c>
      <c r="C425" s="210">
        <f>IF(B425=B424,C424,C424+1)</f>
        <v>13</v>
      </c>
      <c r="D425" s="211">
        <f>F425</f>
        <v>63</v>
      </c>
      <c r="E425" s="220" t="s">
        <v>37</v>
      </c>
      <c r="F425" s="213">
        <f>IF(E425=E424,F424,F424+1)</f>
        <v>63</v>
      </c>
      <c r="G425" s="214"/>
      <c r="H425" s="220" t="s">
        <v>95</v>
      </c>
      <c r="I425" s="321">
        <v>421</v>
      </c>
      <c r="J425" s="228" t="s">
        <v>49</v>
      </c>
      <c r="K425" s="296">
        <f t="shared" si="402"/>
        <v>-0.93695938228517162</v>
      </c>
      <c r="L425" s="332">
        <v>-1</v>
      </c>
      <c r="M425" s="345">
        <f>'MKI-waarden'!$D$78</f>
        <v>5.667349999999999</v>
      </c>
      <c r="N425" s="345">
        <f>IFERROR(IF(Q425&lt;P425,M425/Q425,M425/P425),"")</f>
        <v>0.16192428571428569</v>
      </c>
      <c r="O425" s="345">
        <f t="shared" si="404"/>
        <v>0.16192428571428569</v>
      </c>
      <c r="P425" s="216">
        <v>35</v>
      </c>
      <c r="Q425" s="216">
        <f>'Invoer en resultaat'!$H$9</f>
        <v>100</v>
      </c>
      <c r="R425" s="203">
        <f>Q425-P425</f>
        <v>65</v>
      </c>
      <c r="S425" s="358">
        <f>IF(Q425&lt;P425,0,ROUNDDOWN(Q425/P425-0.01,0))</f>
        <v>2</v>
      </c>
      <c r="T425" s="359">
        <v>0.03</v>
      </c>
      <c r="U425" s="217">
        <v>0</v>
      </c>
      <c r="W425" s="229" t="s">
        <v>310</v>
      </c>
      <c r="X425" s="229"/>
      <c r="Y425" s="229" t="str">
        <f>'MKI-waarden'!$A$78</f>
        <v>Buitenbeglazing, Dubbel glas; droog beglaasd</v>
      </c>
    </row>
    <row r="426" spans="1:25" s="510" customFormat="1" x14ac:dyDescent="0.2">
      <c r="A426" s="494">
        <f>C426</f>
        <v>13</v>
      </c>
      <c r="B426" s="209" t="str">
        <f>B425</f>
        <v>Gebouw</v>
      </c>
      <c r="C426" s="496">
        <f>IF(B426=B425,C425,C425+1)</f>
        <v>13</v>
      </c>
      <c r="D426" s="497">
        <f>F426</f>
        <v>63</v>
      </c>
      <c r="E426" s="498" t="str">
        <f>E425</f>
        <v>gebouw</v>
      </c>
      <c r="F426" s="499">
        <f>IF(E426=E425,F425,F425+1)</f>
        <v>63</v>
      </c>
      <c r="G426" s="500"/>
      <c r="H426" s="500" t="s">
        <v>669</v>
      </c>
      <c r="I426" s="321">
        <v>422</v>
      </c>
      <c r="J426" s="501" t="s">
        <v>49</v>
      </c>
      <c r="K426" s="502"/>
      <c r="L426" s="503"/>
      <c r="M426" s="504"/>
      <c r="N426" s="504"/>
      <c r="O426" s="504"/>
      <c r="P426" s="505">
        <v>50</v>
      </c>
      <c r="Q426" s="513">
        <f>'Invoer en resultaat'!$H$9</f>
        <v>100</v>
      </c>
      <c r="R426" s="513">
        <f>Q426-P426</f>
        <v>50</v>
      </c>
      <c r="S426" s="514">
        <f>IF(Q426&lt;P426,0,ROUNDDOWN(Q426/P426-0.01,0))</f>
        <v>1</v>
      </c>
      <c r="T426" s="506"/>
      <c r="U426" s="507"/>
      <c r="V426" s="508" t="s">
        <v>668</v>
      </c>
      <c r="W426" s="509"/>
      <c r="X426" s="509"/>
      <c r="Y426" s="509"/>
    </row>
    <row r="427" spans="1:25" ht="14.25" customHeight="1" x14ac:dyDescent="0.2">
      <c r="A427" s="196">
        <f t="shared" si="391"/>
        <v>13</v>
      </c>
      <c r="B427" s="197" t="s">
        <v>63</v>
      </c>
      <c r="C427" s="210">
        <f>IF(B427=B425,C425,C425+1)</f>
        <v>13</v>
      </c>
      <c r="D427" s="199">
        <f t="shared" si="367"/>
        <v>64</v>
      </c>
      <c r="E427" s="205" t="s">
        <v>40</v>
      </c>
      <c r="F427" s="213">
        <f>IF(E427=E425,F425,F425+1)</f>
        <v>64</v>
      </c>
      <c r="G427" s="201"/>
      <c r="H427" s="205" t="s">
        <v>151</v>
      </c>
      <c r="I427" s="321">
        <v>423</v>
      </c>
      <c r="J427" s="202" t="s">
        <v>49</v>
      </c>
      <c r="K427" s="292">
        <f t="shared" ref="K427:K433" si="411">1-(N427/AVERAGE($N$427:$N$433))</f>
        <v>0.92111647706963062</v>
      </c>
      <c r="L427" s="331">
        <f>IF(K427&gt;-1,1-(O427/AVERAGE($O$427:$O$433)),1-(O427/AVERAGE($N$427:$N$433)))</f>
        <v>0.88551210279196513</v>
      </c>
      <c r="M427" s="342">
        <f>T427/'MKI-waarden'!N77*'MKI-waarden'!D77</f>
        <v>0.36733199999999999</v>
      </c>
      <c r="N427" s="342">
        <f t="shared" si="365"/>
        <v>1.2244399999999999E-2</v>
      </c>
      <c r="O427" s="342">
        <f t="shared" ref="O427:O433" si="412">IF(K427&lt;-1,(2*AVERAGE($N$427:$N$433)),N427)</f>
        <v>1.2244399999999999E-2</v>
      </c>
      <c r="P427" s="203">
        <v>30</v>
      </c>
      <c r="Q427" s="203">
        <f>'Invoer en resultaat'!$H$9</f>
        <v>100</v>
      </c>
      <c r="R427" s="203">
        <f t="shared" si="366"/>
        <v>70</v>
      </c>
      <c r="S427" s="357">
        <f t="shared" si="398"/>
        <v>3</v>
      </c>
      <c r="T427" s="354">
        <v>5.0000000000000001E-3</v>
      </c>
      <c r="U427" s="190">
        <v>0</v>
      </c>
      <c r="V427" s="274" t="s">
        <v>625</v>
      </c>
      <c r="W427" s="140"/>
      <c r="X427" s="140" t="s">
        <v>407</v>
      </c>
      <c r="Y427" s="140" t="str">
        <f>'MKI-waarden'!A77</f>
        <v>Bekleding, kunststof grastegels grids (HPDE)</v>
      </c>
    </row>
    <row r="428" spans="1:25" ht="14.25" customHeight="1" x14ac:dyDescent="0.2">
      <c r="A428" s="196">
        <f t="shared" si="391"/>
        <v>13</v>
      </c>
      <c r="B428" s="197" t="s">
        <v>63</v>
      </c>
      <c r="C428" s="210">
        <f t="shared" ref="C428:C464" si="413">IF(B428=B427,C427,C427+1)</f>
        <v>13</v>
      </c>
      <c r="D428" s="199">
        <f t="shared" si="367"/>
        <v>64</v>
      </c>
      <c r="E428" s="205" t="s">
        <v>40</v>
      </c>
      <c r="F428" s="213">
        <f t="shared" si="395"/>
        <v>64</v>
      </c>
      <c r="G428" s="201"/>
      <c r="H428" s="205" t="s">
        <v>660</v>
      </c>
      <c r="I428" s="321">
        <v>424</v>
      </c>
      <c r="J428" s="221" t="s">
        <v>49</v>
      </c>
      <c r="K428" s="292">
        <f t="shared" si="411"/>
        <v>0.857699229236348</v>
      </c>
      <c r="L428" s="331">
        <f>1-(O428/AVERAGE($N$427:$N$433))</f>
        <v>0.857699229236348</v>
      </c>
      <c r="M428" s="344">
        <f>M419/M420*M429</f>
        <v>1.5461673679984205</v>
      </c>
      <c r="N428" s="344">
        <f t="shared" si="365"/>
        <v>2.2088105257120294E-2</v>
      </c>
      <c r="O428" s="344">
        <f t="shared" si="412"/>
        <v>2.2088105257120294E-2</v>
      </c>
      <c r="P428" s="203">
        <v>70</v>
      </c>
      <c r="Q428" s="203">
        <f>'Invoer en resultaat'!$H$9</f>
        <v>100</v>
      </c>
      <c r="R428" s="203">
        <f t="shared" si="366"/>
        <v>30</v>
      </c>
      <c r="S428" s="357">
        <f t="shared" si="398"/>
        <v>1</v>
      </c>
      <c r="T428" s="354">
        <v>5.0000000000000001E-3</v>
      </c>
      <c r="U428" s="190">
        <v>0</v>
      </c>
      <c r="V428" s="274"/>
      <c r="W428" s="140"/>
      <c r="X428" s="140" t="s">
        <v>407</v>
      </c>
      <c r="Y428" s="140" t="str">
        <f>'MKI-waarden'!A46</f>
        <v>Vlechtscherm, zachthout (o.b.v. Europees Naaldhout planken)</v>
      </c>
    </row>
    <row r="429" spans="1:25" ht="14.25" customHeight="1" x14ac:dyDescent="0.2">
      <c r="A429" s="196">
        <f t="shared" ref="A429" si="414">C429</f>
        <v>13</v>
      </c>
      <c r="B429" s="197" t="s">
        <v>63</v>
      </c>
      <c r="C429" s="210">
        <f t="shared" ref="C429" si="415">IF(B429=B428,C428,C428+1)</f>
        <v>13</v>
      </c>
      <c r="D429" s="199">
        <f t="shared" ref="D429" si="416">F429</f>
        <v>64</v>
      </c>
      <c r="E429" s="205" t="s">
        <v>40</v>
      </c>
      <c r="F429" s="213">
        <f t="shared" ref="F429" si="417">IF(E429=E428,F428,F428+1)</f>
        <v>64</v>
      </c>
      <c r="G429" s="201"/>
      <c r="H429" s="205" t="s">
        <v>658</v>
      </c>
      <c r="I429" s="321">
        <v>425</v>
      </c>
      <c r="J429" s="221" t="s">
        <v>49</v>
      </c>
      <c r="K429" s="292">
        <f t="shared" ref="K429:K430" si="418">1-(N429/AVERAGE($N$427:$N$433))</f>
        <v>0.8729048382768374</v>
      </c>
      <c r="L429" s="331">
        <f>1-(O429/AVERAGE($N$427:$N$433))</f>
        <v>0.8729048382768374</v>
      </c>
      <c r="M429" s="344">
        <f>T429*'MKI-waarden'!E128</f>
        <v>1.3809509999999998</v>
      </c>
      <c r="N429" s="344">
        <f t="shared" ref="N429" si="419">IFERROR(IF(Q429&lt;P429,M429/Q429,M429/P429),"")</f>
        <v>1.9727871428571426E-2</v>
      </c>
      <c r="O429" s="344">
        <f t="shared" si="412"/>
        <v>1.9727871428571426E-2</v>
      </c>
      <c r="P429" s="203">
        <v>70</v>
      </c>
      <c r="Q429" s="203">
        <f>'Invoer en resultaat'!$H$9</f>
        <v>100</v>
      </c>
      <c r="R429" s="203">
        <f t="shared" si="366"/>
        <v>30</v>
      </c>
      <c r="S429" s="357">
        <f t="shared" ref="S429" si="420">IF(Q429&lt;P429,0,ROUNDDOWN(Q429/P429-0.01,0))</f>
        <v>1</v>
      </c>
      <c r="T429" s="354">
        <v>5.0000000000000001E-3</v>
      </c>
      <c r="U429" s="190">
        <v>0</v>
      </c>
      <c r="V429" s="274"/>
      <c r="W429" s="140"/>
      <c r="X429" s="140" t="s">
        <v>407</v>
      </c>
      <c r="Y429" s="140" t="str">
        <f>'MKI-waarden'!$A$36</f>
        <v>Damwand, gerecycled kunststof, gording</v>
      </c>
    </row>
    <row r="430" spans="1:25" ht="14.25" customHeight="1" x14ac:dyDescent="0.2">
      <c r="A430" s="196">
        <f t="shared" si="391"/>
        <v>13</v>
      </c>
      <c r="B430" s="197" t="s">
        <v>63</v>
      </c>
      <c r="C430" s="210">
        <f>IF(B430=B428,C428,C428+1)</f>
        <v>13</v>
      </c>
      <c r="D430" s="199">
        <f t="shared" si="367"/>
        <v>64</v>
      </c>
      <c r="E430" s="205" t="s">
        <v>40</v>
      </c>
      <c r="F430" s="213">
        <f>IF(E430=E428,F428,F428+1)</f>
        <v>64</v>
      </c>
      <c r="G430" s="201"/>
      <c r="H430" s="205" t="s">
        <v>42</v>
      </c>
      <c r="I430" s="321">
        <v>426</v>
      </c>
      <c r="J430" s="221" t="s">
        <v>49</v>
      </c>
      <c r="K430" s="292">
        <f t="shared" si="418"/>
        <v>0.48184565527567169</v>
      </c>
      <c r="L430" s="331">
        <f>1-(O430/AVERAGE($N$427:$N$433))</f>
        <v>0.48184565527567169</v>
      </c>
      <c r="M430" s="344">
        <f>'MKI-waarden'!D109</f>
        <v>5.63</v>
      </c>
      <c r="N430" s="344">
        <f t="shared" ref="N430" si="421">IFERROR(IF(Q430&lt;P430,M430/Q430,M430/P430),"")</f>
        <v>8.0428571428571433E-2</v>
      </c>
      <c r="O430" s="344">
        <f t="shared" si="412"/>
        <v>8.0428571428571433E-2</v>
      </c>
      <c r="P430" s="203">
        <v>70</v>
      </c>
      <c r="Q430" s="203">
        <f>'Invoer en resultaat'!$H$9</f>
        <v>100</v>
      </c>
      <c r="R430" s="203">
        <f t="shared" si="366"/>
        <v>30</v>
      </c>
      <c r="S430" s="357">
        <f t="shared" ref="S430" si="422">IF(Q430&lt;P430,0,ROUNDDOWN(Q430/P430-0.01,0))</f>
        <v>1</v>
      </c>
      <c r="T430" s="354">
        <f>30/1000</f>
        <v>0.03</v>
      </c>
      <c r="U430" s="190">
        <v>0</v>
      </c>
      <c r="V430" s="174"/>
      <c r="W430" s="140"/>
      <c r="X430" s="140"/>
      <c r="Y430" s="140" t="str">
        <f>'MKI-waarden'!$A$128</f>
        <v>GVK, glasvezels in polyester, biobased hars</v>
      </c>
    </row>
    <row r="431" spans="1:25" ht="14.25" customHeight="1" x14ac:dyDescent="0.2">
      <c r="A431" s="196">
        <f t="shared" si="391"/>
        <v>13</v>
      </c>
      <c r="B431" s="197" t="s">
        <v>63</v>
      </c>
      <c r="C431" s="210">
        <f t="shared" si="413"/>
        <v>13</v>
      </c>
      <c r="D431" s="199">
        <f t="shared" si="367"/>
        <v>64</v>
      </c>
      <c r="E431" s="205" t="s">
        <v>40</v>
      </c>
      <c r="F431" s="213">
        <f t="shared" si="395"/>
        <v>64</v>
      </c>
      <c r="G431" s="201"/>
      <c r="H431" s="205" t="s">
        <v>117</v>
      </c>
      <c r="I431" s="321">
        <v>427</v>
      </c>
      <c r="J431" s="221" t="s">
        <v>49</v>
      </c>
      <c r="K431" s="292">
        <f t="shared" si="411"/>
        <v>-3.1769167398610154</v>
      </c>
      <c r="L431" s="331">
        <f>IF(K431&gt;-1,1-(O431/AVERAGE($O$427:$O$433)),1-(O431/AVERAGE($N$427:$N$433)))</f>
        <v>-1</v>
      </c>
      <c r="M431" s="342">
        <f>T431*'MKI-waarden'!D56</f>
        <v>32.417314433775339</v>
      </c>
      <c r="N431" s="342">
        <f t="shared" si="365"/>
        <v>0.64834628867550681</v>
      </c>
      <c r="O431" s="342">
        <f t="shared" si="412"/>
        <v>0.31044252450053872</v>
      </c>
      <c r="P431" s="203">
        <v>50</v>
      </c>
      <c r="Q431" s="203">
        <f>'Invoer en resultaat'!$H$9</f>
        <v>100</v>
      </c>
      <c r="R431" s="203">
        <f t="shared" si="366"/>
        <v>50</v>
      </c>
      <c r="S431" s="357">
        <f t="shared" si="398"/>
        <v>1</v>
      </c>
      <c r="T431" s="354">
        <v>5.0000000000000001E-3</v>
      </c>
      <c r="U431" s="190">
        <v>0</v>
      </c>
      <c r="V431" s="174"/>
      <c r="W431" s="140" t="s">
        <v>312</v>
      </c>
      <c r="X431" s="140"/>
      <c r="Y431" s="140" t="str">
        <f>'MKI-waarden'!A56</f>
        <v>Hemelwaterafvoer, koper, d = 80 mm, wd = 0,65 mm</v>
      </c>
    </row>
    <row r="432" spans="1:25" ht="14.25" customHeight="1" x14ac:dyDescent="0.2">
      <c r="A432" s="196">
        <f t="shared" si="391"/>
        <v>13</v>
      </c>
      <c r="B432" s="197" t="s">
        <v>63</v>
      </c>
      <c r="C432" s="210">
        <f t="shared" si="413"/>
        <v>13</v>
      </c>
      <c r="D432" s="199">
        <f t="shared" si="367"/>
        <v>64</v>
      </c>
      <c r="E432" s="205" t="s">
        <v>40</v>
      </c>
      <c r="F432" s="213">
        <f t="shared" si="395"/>
        <v>64</v>
      </c>
      <c r="G432" s="201"/>
      <c r="H432" s="205" t="s">
        <v>152</v>
      </c>
      <c r="I432" s="321">
        <v>428</v>
      </c>
      <c r="J432" s="221" t="s">
        <v>49</v>
      </c>
      <c r="K432" s="292">
        <f t="shared" si="411"/>
        <v>-0.65709266045223336</v>
      </c>
      <c r="L432" s="331">
        <v>-1</v>
      </c>
      <c r="M432" s="342">
        <f>('MKI-waarden'!D83/19)*(7800*Database!T432)</f>
        <v>12.860800721052634</v>
      </c>
      <c r="N432" s="342">
        <f t="shared" si="365"/>
        <v>0.25721601442105269</v>
      </c>
      <c r="O432" s="342">
        <f t="shared" si="412"/>
        <v>0.25721601442105269</v>
      </c>
      <c r="P432" s="203">
        <v>50</v>
      </c>
      <c r="Q432" s="203">
        <f>'Invoer en resultaat'!$H$9</f>
        <v>100</v>
      </c>
      <c r="R432" s="203">
        <f t="shared" si="366"/>
        <v>50</v>
      </c>
      <c r="S432" s="357">
        <f t="shared" si="398"/>
        <v>1</v>
      </c>
      <c r="T432" s="354">
        <v>3.0000000000000001E-3</v>
      </c>
      <c r="U432" s="190">
        <v>0</v>
      </c>
      <c r="V432" s="174" t="s">
        <v>323</v>
      </c>
      <c r="W432" s="140" t="s">
        <v>312</v>
      </c>
      <c r="X432" s="140"/>
      <c r="Y432" s="140" t="str">
        <f>'MKI-waarden'!A83</f>
        <v xml:space="preserve">Leuning, Staal gecoat </v>
      </c>
    </row>
    <row r="433" spans="1:25" s="259" customFormat="1" ht="14.25" customHeight="1" x14ac:dyDescent="0.2">
      <c r="A433" s="208">
        <f t="shared" si="391"/>
        <v>13</v>
      </c>
      <c r="B433" s="209" t="s">
        <v>63</v>
      </c>
      <c r="C433" s="210">
        <f t="shared" si="413"/>
        <v>13</v>
      </c>
      <c r="D433" s="211">
        <f t="shared" si="367"/>
        <v>64</v>
      </c>
      <c r="E433" s="220" t="s">
        <v>40</v>
      </c>
      <c r="F433" s="213">
        <f t="shared" si="395"/>
        <v>64</v>
      </c>
      <c r="G433" s="214"/>
      <c r="H433" s="220" t="s">
        <v>41</v>
      </c>
      <c r="I433" s="321">
        <v>429</v>
      </c>
      <c r="J433" s="228" t="s">
        <v>49</v>
      </c>
      <c r="K433" s="296">
        <f t="shared" si="411"/>
        <v>0.70044320045476183</v>
      </c>
      <c r="L433" s="332">
        <f>IF(K433&gt;-1,1-(O433/AVERAGE($O$427:$O$433)),1-(O433/AVERAGE($N$427:$N$433)))</f>
        <v>0.56523711416164879</v>
      </c>
      <c r="M433" s="345">
        <f>T433/'MKI-waarden'!N22*'MKI-waarden'!D22</f>
        <v>0.69746376811594191</v>
      </c>
      <c r="N433" s="345">
        <f t="shared" si="365"/>
        <v>4.6497584541062793E-2</v>
      </c>
      <c r="O433" s="345">
        <f t="shared" si="412"/>
        <v>4.6497584541062793E-2</v>
      </c>
      <c r="P433" s="216">
        <v>15</v>
      </c>
      <c r="Q433" s="216">
        <f>'Invoer en resultaat'!$H$9</f>
        <v>100</v>
      </c>
      <c r="R433" s="203">
        <f t="shared" si="366"/>
        <v>85</v>
      </c>
      <c r="S433" s="358">
        <f t="shared" si="398"/>
        <v>6</v>
      </c>
      <c r="T433" s="359">
        <v>5.0000000000000001E-3</v>
      </c>
      <c r="U433" s="217">
        <v>0</v>
      </c>
      <c r="V433" s="218"/>
      <c r="W433" s="229" t="s">
        <v>312</v>
      </c>
      <c r="X433" s="229"/>
      <c r="Y433" s="140" t="str">
        <f>'MKI-waarden'!A22</f>
        <v>Bitumen gemod. Tweelaags, 6,9 mm 8,7 kg /m2 gekleefd brandmethode</v>
      </c>
    </row>
    <row r="434" spans="1:25" ht="14.25" customHeight="1" x14ac:dyDescent="0.2">
      <c r="A434" s="196">
        <f t="shared" si="391"/>
        <v>13</v>
      </c>
      <c r="B434" s="197" t="s">
        <v>63</v>
      </c>
      <c r="C434" s="210">
        <f t="shared" si="413"/>
        <v>13</v>
      </c>
      <c r="D434" s="199">
        <f t="shared" si="367"/>
        <v>65</v>
      </c>
      <c r="E434" s="205" t="s">
        <v>98</v>
      </c>
      <c r="F434" s="213">
        <f t="shared" si="395"/>
        <v>65</v>
      </c>
      <c r="G434" s="201"/>
      <c r="H434" s="205" t="s">
        <v>13</v>
      </c>
      <c r="I434" s="321">
        <v>430</v>
      </c>
      <c r="J434" s="202" t="s">
        <v>49</v>
      </c>
      <c r="K434" s="292">
        <f>1-(N434/AVERAGE($N$434:$N$438))</f>
        <v>-0.68649111383210104</v>
      </c>
      <c r="L434" s="331">
        <f>IF(K434&gt;-1,1-(O434/AVERAGE($O$434:$O$438)),1-(O434/AVERAGE($N$434:$N$438)))</f>
        <v>-0.68649111383210104</v>
      </c>
      <c r="M434" s="342">
        <f>T434*'MKI-waarden'!D28</f>
        <v>5.1913466666666661</v>
      </c>
      <c r="N434" s="342">
        <f t="shared" si="365"/>
        <v>0.25956733333333332</v>
      </c>
      <c r="O434" s="342">
        <f>IF(K434&lt;-1,(2*AVERAGE($N$434:$N$438)),N434)</f>
        <v>0.25956733333333332</v>
      </c>
      <c r="P434" s="203">
        <v>20</v>
      </c>
      <c r="Q434" s="203">
        <f>'Invoer en resultaat'!$H$9</f>
        <v>100</v>
      </c>
      <c r="R434" s="203">
        <f t="shared" si="366"/>
        <v>80</v>
      </c>
      <c r="S434" s="357">
        <f t="shared" si="398"/>
        <v>4</v>
      </c>
      <c r="T434" s="354">
        <v>0.08</v>
      </c>
      <c r="U434" s="190">
        <v>0</v>
      </c>
      <c r="V434" s="174"/>
      <c r="W434" s="140"/>
      <c r="X434" s="140"/>
      <c r="Y434" s="140" t="str">
        <f>'MKI-waarden'!$A$29</f>
        <v>Damwand, tropisch hardhout, damwandplanken</v>
      </c>
    </row>
    <row r="435" spans="1:25" ht="14.25" customHeight="1" x14ac:dyDescent="0.2">
      <c r="A435" s="196">
        <f t="shared" si="391"/>
        <v>13</v>
      </c>
      <c r="B435" s="197" t="s">
        <v>63</v>
      </c>
      <c r="C435" s="210">
        <f t="shared" si="413"/>
        <v>13</v>
      </c>
      <c r="D435" s="199">
        <f t="shared" si="367"/>
        <v>65</v>
      </c>
      <c r="E435" s="205" t="s">
        <v>98</v>
      </c>
      <c r="F435" s="213">
        <f t="shared" si="395"/>
        <v>65</v>
      </c>
      <c r="G435" s="201"/>
      <c r="H435" s="205" t="s">
        <v>660</v>
      </c>
      <c r="I435" s="321">
        <v>431</v>
      </c>
      <c r="J435" s="202" t="s">
        <v>49</v>
      </c>
      <c r="K435" s="292">
        <f>1-(N435/AVERAGE($N$434:$N$438))</f>
        <v>0.79908122542694082</v>
      </c>
      <c r="L435" s="331">
        <f>IF(K435&gt;-1,1-(O435/AVERAGE($O$434:$O$438)),1-(O435/AVERAGE($N$434:$N$438)))</f>
        <v>0.79908122542694082</v>
      </c>
      <c r="M435" s="344">
        <f>M428/M429*M436</f>
        <v>1.5461673679984207</v>
      </c>
      <c r="N435" s="344">
        <f t="shared" si="365"/>
        <v>3.0923347359968413E-2</v>
      </c>
      <c r="O435" s="344">
        <f>IF(K435&lt;-1,(2*AVERAGE($N$434:$N$438)),N435)</f>
        <v>3.0923347359968413E-2</v>
      </c>
      <c r="P435" s="203">
        <v>50</v>
      </c>
      <c r="Q435" s="203">
        <f>'Invoer en resultaat'!$H$9</f>
        <v>100</v>
      </c>
      <c r="R435" s="203">
        <f t="shared" si="366"/>
        <v>50</v>
      </c>
      <c r="S435" s="357">
        <f t="shared" si="398"/>
        <v>1</v>
      </c>
      <c r="T435" s="354">
        <v>5.0000000000000001E-3</v>
      </c>
      <c r="U435" s="190">
        <v>0</v>
      </c>
      <c r="V435" s="274"/>
      <c r="W435" s="140"/>
      <c r="X435" s="184"/>
      <c r="Y435" s="140" t="str">
        <f>'MKI-waarden'!$A$36</f>
        <v>Damwand, gerecycled kunststof, gording</v>
      </c>
    </row>
    <row r="436" spans="1:25" ht="14.25" customHeight="1" x14ac:dyDescent="0.2">
      <c r="A436" s="196">
        <f t="shared" ref="A436" si="423">C436</f>
        <v>13</v>
      </c>
      <c r="B436" s="197" t="s">
        <v>63</v>
      </c>
      <c r="C436" s="210">
        <f t="shared" ref="C436" si="424">IF(B436=B435,C435,C435+1)</f>
        <v>13</v>
      </c>
      <c r="D436" s="199">
        <f t="shared" ref="D436" si="425">F436</f>
        <v>65</v>
      </c>
      <c r="E436" s="205" t="s">
        <v>98</v>
      </c>
      <c r="F436" s="213">
        <f t="shared" ref="F436" si="426">IF(E436=E435,F435,F435+1)</f>
        <v>65</v>
      </c>
      <c r="G436" s="201"/>
      <c r="H436" s="205" t="s">
        <v>658</v>
      </c>
      <c r="I436" s="321">
        <v>432</v>
      </c>
      <c r="J436" s="202" t="s">
        <v>49</v>
      </c>
      <c r="K436" s="292">
        <f>1-(N436/AVERAGE($N$434:$N$438))</f>
        <v>0.82055048605467396</v>
      </c>
      <c r="L436" s="331">
        <f>IF(K436&gt;-1,1-(O436/AVERAGE($O$434:$O$438)),1-(O436/AVERAGE($N$434:$N$438)))</f>
        <v>0.82055048605467396</v>
      </c>
      <c r="M436" s="344">
        <f>T436*'MKI-waarden'!D128</f>
        <v>1.380951</v>
      </c>
      <c r="N436" s="344">
        <f t="shared" ref="N436" si="427">IFERROR(IF(Q436&lt;P436,M436/Q436,M436/P436),"")</f>
        <v>2.7619020000000001E-2</v>
      </c>
      <c r="O436" s="344">
        <f>IF(K436&lt;-1,(2*AVERAGE($N$434:$N$438)),N436)</f>
        <v>2.7619020000000001E-2</v>
      </c>
      <c r="P436" s="203">
        <v>50</v>
      </c>
      <c r="Q436" s="203">
        <f>'Invoer en resultaat'!$H$9</f>
        <v>100</v>
      </c>
      <c r="R436" s="203"/>
      <c r="S436" s="357">
        <f t="shared" ref="S436" si="428">IF(Q436&lt;P436,0,ROUNDDOWN(Q436/P436-0.01,0))</f>
        <v>1</v>
      </c>
      <c r="T436" s="354">
        <v>5.0000000000000001E-3</v>
      </c>
      <c r="U436" s="190">
        <v>0</v>
      </c>
      <c r="V436" s="274"/>
      <c r="W436" s="140"/>
      <c r="X436" s="184"/>
      <c r="Y436" s="140" t="str">
        <f>'MKI-waarden'!$A$128</f>
        <v>GVK, glasvezels in polyester, biobased hars</v>
      </c>
    </row>
    <row r="437" spans="1:25" ht="14.25" customHeight="1" x14ac:dyDescent="0.2">
      <c r="A437" s="196">
        <f t="shared" si="391"/>
        <v>13</v>
      </c>
      <c r="B437" s="197" t="s">
        <v>63</v>
      </c>
      <c r="C437" s="210">
        <f>IF(B437=B435,C435,C435+1)</f>
        <v>13</v>
      </c>
      <c r="D437" s="199">
        <f t="shared" si="367"/>
        <v>65</v>
      </c>
      <c r="E437" s="205" t="s">
        <v>98</v>
      </c>
      <c r="F437" s="213">
        <f>IF(E437=E435,F435,F435+1)</f>
        <v>65</v>
      </c>
      <c r="G437" s="201"/>
      <c r="H437" s="205" t="s">
        <v>6</v>
      </c>
      <c r="I437" s="321">
        <v>433</v>
      </c>
      <c r="J437" s="202" t="s">
        <v>49</v>
      </c>
      <c r="K437" s="292">
        <f>1-(N437/AVERAGE($N$434:$N$438))</f>
        <v>-3.9795225418272739E-2</v>
      </c>
      <c r="L437" s="331">
        <f>IF(K437&gt;-1,1-(O437/AVERAGE($O$434:$O$438)),1-(O437/AVERAGE($N$434:$N$438)))</f>
        <v>-3.9795225418272739E-2</v>
      </c>
      <c r="M437" s="342">
        <f>T437*'MKI-waarden'!D5</f>
        <v>5.6012098184999992</v>
      </c>
      <c r="N437" s="342">
        <f t="shared" si="365"/>
        <v>0.16003456624285711</v>
      </c>
      <c r="O437" s="342">
        <f>IF(K437&lt;-1,(2*AVERAGE($N$434:$N$438)),N437)</f>
        <v>0.16003456624285711</v>
      </c>
      <c r="P437" s="203">
        <v>35</v>
      </c>
      <c r="Q437" s="203">
        <f>'Invoer en resultaat'!$H$9</f>
        <v>100</v>
      </c>
      <c r="R437" s="203">
        <f t="shared" si="366"/>
        <v>65</v>
      </c>
      <c r="S437" s="357">
        <f t="shared" si="398"/>
        <v>2</v>
      </c>
      <c r="T437" s="354">
        <v>5.0000000000000001E-3</v>
      </c>
      <c r="U437" s="190">
        <v>0</v>
      </c>
      <c r="V437" s="183"/>
      <c r="W437" s="140"/>
      <c r="X437" s="140"/>
      <c r="Y437" s="140" t="str">
        <f>'MKI-waarden'!$A$4</f>
        <v>Kolommen, aluminium, per kg constructiegewicht.</v>
      </c>
    </row>
    <row r="438" spans="1:25" s="259" customFormat="1" ht="14.25" customHeight="1" x14ac:dyDescent="0.2">
      <c r="A438" s="208">
        <f>C438</f>
        <v>13</v>
      </c>
      <c r="B438" s="209" t="s">
        <v>63</v>
      </c>
      <c r="C438" s="210">
        <f>IF(B438=B437,C437,C437+1)</f>
        <v>13</v>
      </c>
      <c r="D438" s="211">
        <f>F438</f>
        <v>65</v>
      </c>
      <c r="E438" s="220" t="s">
        <v>98</v>
      </c>
      <c r="F438" s="213">
        <f>IF(E438=E437,F437,F437+1)</f>
        <v>65</v>
      </c>
      <c r="G438" s="214"/>
      <c r="H438" s="220" t="s">
        <v>4</v>
      </c>
      <c r="I438" s="321">
        <v>434</v>
      </c>
      <c r="J438" s="215" t="s">
        <v>49</v>
      </c>
      <c r="K438" s="296">
        <f>1-(N438/AVERAGE($N$434:$N$438))</f>
        <v>-0.893345372231241</v>
      </c>
      <c r="L438" s="331">
        <f>IF(K438&gt;-1,1-(O438/AVERAGE($O$434:$O$438)),1-(O438/AVERAGE($N$434:$N$438)))</f>
        <v>-0.893345372231241</v>
      </c>
      <c r="M438" s="345">
        <f>T438*'MKI-waarden'!D27</f>
        <v>5.8280841839999997</v>
      </c>
      <c r="N438" s="345">
        <f>IFERROR(IF(Q438&lt;P438,M438/Q438,M438/P438),"")</f>
        <v>0.29140420919999999</v>
      </c>
      <c r="O438" s="345">
        <f>IF(K438&lt;-1,(2*AVERAGE($N$434:$N$438)),N438)</f>
        <v>0.29140420919999999</v>
      </c>
      <c r="P438" s="216">
        <v>20</v>
      </c>
      <c r="Q438" s="203">
        <f>'Invoer en resultaat'!$H$9</f>
        <v>100</v>
      </c>
      <c r="R438" s="203">
        <f>Q438-P438</f>
        <v>80</v>
      </c>
      <c r="S438" s="358">
        <f>IF(Q438&lt;P438,0,ROUNDDOWN(Q438/P438-0.01,0))</f>
        <v>4</v>
      </c>
      <c r="T438" s="359">
        <v>5.0000000000000001E-3</v>
      </c>
      <c r="U438" s="217">
        <v>0</v>
      </c>
      <c r="V438" s="218"/>
      <c r="W438" s="229"/>
      <c r="X438" s="229"/>
      <c r="Y438" s="229" t="str">
        <f>'MKI-waarden'!A27</f>
        <v>Constructies in kg of m3, wapeningstaal</v>
      </c>
    </row>
    <row r="439" spans="1:25" s="510" customFormat="1" x14ac:dyDescent="0.2">
      <c r="A439" s="494">
        <f>C439</f>
        <v>13</v>
      </c>
      <c r="B439" s="495" t="str">
        <f>B438</f>
        <v>Gebouw</v>
      </c>
      <c r="C439" s="496">
        <f>IF(B439=B438,C438,C438+1)</f>
        <v>13</v>
      </c>
      <c r="D439" s="497">
        <f>F439</f>
        <v>65</v>
      </c>
      <c r="E439" s="498" t="str">
        <f>E438</f>
        <v>traptreden</v>
      </c>
      <c r="F439" s="499">
        <f>IF(E439=E438,F438,F438+1)</f>
        <v>65</v>
      </c>
      <c r="G439" s="500"/>
      <c r="H439" s="500" t="s">
        <v>669</v>
      </c>
      <c r="I439" s="321">
        <v>435</v>
      </c>
      <c r="J439" s="501" t="s">
        <v>49</v>
      </c>
      <c r="K439" s="502"/>
      <c r="L439" s="503"/>
      <c r="M439" s="504"/>
      <c r="N439" s="504"/>
      <c r="O439" s="504"/>
      <c r="P439" s="505">
        <v>50</v>
      </c>
      <c r="Q439" s="513">
        <f>'Invoer en resultaat'!$H$9</f>
        <v>100</v>
      </c>
      <c r="R439" s="513">
        <f>Q439-P439</f>
        <v>50</v>
      </c>
      <c r="S439" s="514">
        <f>IF(Q439&lt;P439,0,ROUNDDOWN(Q439/P439-0.01,0))</f>
        <v>1</v>
      </c>
      <c r="T439" s="506"/>
      <c r="U439" s="507"/>
      <c r="V439" s="508" t="s">
        <v>668</v>
      </c>
      <c r="W439" s="509"/>
      <c r="X439" s="509"/>
      <c r="Y439" s="509"/>
    </row>
    <row r="440" spans="1:25" ht="14.25" customHeight="1" x14ac:dyDescent="0.2">
      <c r="A440" s="196">
        <f t="shared" si="391"/>
        <v>13</v>
      </c>
      <c r="B440" s="197" t="s">
        <v>63</v>
      </c>
      <c r="C440" s="210">
        <f>IF(B440=B438,C438,C438+1)</f>
        <v>13</v>
      </c>
      <c r="D440" s="199">
        <f t="shared" si="367"/>
        <v>66</v>
      </c>
      <c r="E440" s="205" t="s">
        <v>99</v>
      </c>
      <c r="F440" s="213">
        <f>IF(E440=E438,F438,F438+1)</f>
        <v>66</v>
      </c>
      <c r="G440" s="201"/>
      <c r="H440" s="205" t="s">
        <v>13</v>
      </c>
      <c r="I440" s="321">
        <v>436</v>
      </c>
      <c r="J440" s="202" t="s">
        <v>49</v>
      </c>
      <c r="K440" s="292">
        <f>1-(N440/AVERAGE($N$440:$N$443))</f>
        <v>-1.4138282065701362</v>
      </c>
      <c r="L440" s="331">
        <f>IF(K440&gt;-1,1-(O440/AVERAGE($O$440:$O$443)),1-(O440/AVERAGE($N$440:$N$443)))</f>
        <v>-1</v>
      </c>
      <c r="M440" s="342">
        <f>T440/'MKI-waarden'!N29*'MKI-waarden'!D29</f>
        <v>5.1913466666666661</v>
      </c>
      <c r="N440" s="342">
        <f t="shared" si="365"/>
        <v>0.25956733333333332</v>
      </c>
      <c r="O440" s="342">
        <f>IF(K440&lt;-1,(2*AVERAGE($N$440:$N$443)),N440)</f>
        <v>0.21506694853165087</v>
      </c>
      <c r="P440" s="203">
        <v>20</v>
      </c>
      <c r="Q440" s="203">
        <f>'Invoer en resultaat'!$H$9</f>
        <v>100</v>
      </c>
      <c r="R440" s="203">
        <f t="shared" si="366"/>
        <v>80</v>
      </c>
      <c r="S440" s="357">
        <f t="shared" si="398"/>
        <v>4</v>
      </c>
      <c r="T440" s="354">
        <v>0.08</v>
      </c>
      <c r="U440" s="190">
        <v>0</v>
      </c>
      <c r="V440" s="174"/>
      <c r="W440" s="140"/>
      <c r="X440" s="140"/>
      <c r="Y440" s="140" t="str">
        <f>'MKI-waarden'!$A$29</f>
        <v>Damwand, tropisch hardhout, damwandplanken</v>
      </c>
    </row>
    <row r="441" spans="1:25" ht="14.25" customHeight="1" x14ac:dyDescent="0.2">
      <c r="A441" s="196">
        <f t="shared" si="391"/>
        <v>13</v>
      </c>
      <c r="B441" s="197" t="s">
        <v>63</v>
      </c>
      <c r="C441" s="210">
        <f t="shared" si="413"/>
        <v>13</v>
      </c>
      <c r="D441" s="199">
        <f t="shared" si="367"/>
        <v>66</v>
      </c>
      <c r="E441" s="205" t="s">
        <v>99</v>
      </c>
      <c r="F441" s="213">
        <f t="shared" si="395"/>
        <v>66</v>
      </c>
      <c r="G441" s="201"/>
      <c r="H441" s="205" t="s">
        <v>660</v>
      </c>
      <c r="I441" s="321">
        <v>437</v>
      </c>
      <c r="J441" s="202" t="s">
        <v>49</v>
      </c>
      <c r="K441" s="292">
        <f>1-(N441/AVERAGE($N$440:$N$443))</f>
        <v>0.71243050063159752</v>
      </c>
      <c r="L441" s="331">
        <f>IF(K441&gt;-1,1-(O441/AVERAGE($O$440:$O$443)),1-(O441/AVERAGE($N$440:$N$443)))</f>
        <v>0.67924626489422346</v>
      </c>
      <c r="M441" s="344">
        <f>M435/M436*M442</f>
        <v>1.5461673679984205</v>
      </c>
      <c r="N441" s="344">
        <f t="shared" si="365"/>
        <v>3.092334735996841E-2</v>
      </c>
      <c r="O441" s="344">
        <f>IF(K441&lt;-1,(2*AVERAGE($N$440:$N$443)),N441)</f>
        <v>3.092334735996841E-2</v>
      </c>
      <c r="P441" s="203">
        <v>50</v>
      </c>
      <c r="Q441" s="203">
        <f>'Invoer en resultaat'!$H$9</f>
        <v>100</v>
      </c>
      <c r="R441" s="203">
        <f t="shared" si="366"/>
        <v>50</v>
      </c>
      <c r="S441" s="357">
        <f t="shared" si="398"/>
        <v>1</v>
      </c>
      <c r="T441" s="354">
        <v>5.0000000000000001E-3</v>
      </c>
      <c r="U441" s="190">
        <v>0</v>
      </c>
      <c r="V441" s="140"/>
      <c r="W441" s="140" t="s">
        <v>332</v>
      </c>
      <c r="X441" s="184"/>
      <c r="Y441" s="140" t="str">
        <f>'MKI-waarden'!$A$36</f>
        <v>Damwand, gerecycled kunststof, gording</v>
      </c>
    </row>
    <row r="442" spans="1:25" ht="14.25" customHeight="1" x14ac:dyDescent="0.2">
      <c r="A442" s="196">
        <f t="shared" ref="A442" si="429">C442</f>
        <v>13</v>
      </c>
      <c r="B442" s="197" t="s">
        <v>63</v>
      </c>
      <c r="C442" s="210">
        <f t="shared" ref="C442" si="430">IF(B442=B441,C441,C441+1)</f>
        <v>13</v>
      </c>
      <c r="D442" s="199">
        <f t="shared" ref="D442" si="431">F442</f>
        <v>66</v>
      </c>
      <c r="E442" s="205" t="s">
        <v>99</v>
      </c>
      <c r="F442" s="213">
        <f t="shared" ref="F442" si="432">IF(E442=E441,F441,F441+1)</f>
        <v>66</v>
      </c>
      <c r="G442" s="201"/>
      <c r="H442" s="205" t="s">
        <v>658</v>
      </c>
      <c r="I442" s="321">
        <v>438</v>
      </c>
      <c r="J442" s="202" t="s">
        <v>49</v>
      </c>
      <c r="K442" s="292">
        <f>1-(N442/AVERAGE($N$440:$N$443))</f>
        <v>0.74315886110286833</v>
      </c>
      <c r="L442" s="331">
        <f>IF(K442&gt;-1,1-(O442/AVERAGE($O$440:$O$443)),1-(O442/AVERAGE($N$440:$N$443)))</f>
        <v>0.71352054090918471</v>
      </c>
      <c r="M442" s="344">
        <f>T442*'MKI-waarden'!$E$128</f>
        <v>1.3809509999999998</v>
      </c>
      <c r="N442" s="344">
        <f t="shared" ref="N442" si="433">IFERROR(IF(Q442&lt;P442,M442/Q442,M442/P442),"")</f>
        <v>2.7619019999999998E-2</v>
      </c>
      <c r="O442" s="344">
        <f>IF(K442&lt;-1,(2*AVERAGE($N$440:$N$443)),N442)</f>
        <v>2.7619019999999998E-2</v>
      </c>
      <c r="P442" s="203">
        <v>50</v>
      </c>
      <c r="Q442" s="203">
        <f>'Invoer en resultaat'!$H$9</f>
        <v>100</v>
      </c>
      <c r="R442" s="203"/>
      <c r="S442" s="357">
        <f t="shared" ref="S442" si="434">IF(Q442&lt;P442,0,ROUNDDOWN(Q442/P442-0.01,0))</f>
        <v>1</v>
      </c>
      <c r="T442" s="354">
        <v>5.0000000000000001E-3</v>
      </c>
      <c r="U442" s="190">
        <v>0</v>
      </c>
      <c r="V442" s="140"/>
      <c r="W442" s="140" t="s">
        <v>332</v>
      </c>
      <c r="X442" s="184"/>
      <c r="Y442" s="140" t="str">
        <f>'MKI-waarden'!$A$128</f>
        <v>GVK, glasvezels in polyester, biobased hars</v>
      </c>
    </row>
    <row r="443" spans="1:25" s="259" customFormat="1" ht="14.25" customHeight="1" x14ac:dyDescent="0.2">
      <c r="A443" s="208">
        <f>C443</f>
        <v>13</v>
      </c>
      <c r="B443" s="209" t="s">
        <v>63</v>
      </c>
      <c r="C443" s="210">
        <f>IF(B443=B441,C441,C441+1)</f>
        <v>13</v>
      </c>
      <c r="D443" s="211">
        <f>F443</f>
        <v>66</v>
      </c>
      <c r="E443" s="220" t="s">
        <v>99</v>
      </c>
      <c r="F443" s="213">
        <f>IF(E443=E441,F441,F441+1)</f>
        <v>66</v>
      </c>
      <c r="G443" s="214"/>
      <c r="H443" s="220" t="s">
        <v>153</v>
      </c>
      <c r="I443" s="321">
        <v>439</v>
      </c>
      <c r="J443" s="215" t="s">
        <v>49</v>
      </c>
      <c r="K443" s="296">
        <f>1-(N443/AVERAGE($N$440:$N$443))</f>
        <v>-4.1761155164329322E-2</v>
      </c>
      <c r="L443" s="332">
        <f>IF(K443&gt;-1,1-(O443/AVERAGE($O$440:$O$443)),1-(O443/AVERAGE($N$440:$N$443)))</f>
        <v>-0.16197573922466746</v>
      </c>
      <c r="M443" s="345">
        <f>T443*'MKI-waarden'!D5</f>
        <v>5.6012098184999992</v>
      </c>
      <c r="N443" s="345">
        <f>IFERROR(IF(Q443&lt;P443,M443/Q443,M443/P443),"")</f>
        <v>0.11202419636999998</v>
      </c>
      <c r="O443" s="345">
        <f>IF(K443&lt;-1,(2*AVERAGE($N$440:$N$443)),N443)</f>
        <v>0.11202419636999998</v>
      </c>
      <c r="P443" s="216">
        <v>50</v>
      </c>
      <c r="Q443" s="216">
        <f>'Invoer en resultaat'!$H$9</f>
        <v>100</v>
      </c>
      <c r="R443" s="203">
        <f>Q443-P443</f>
        <v>50</v>
      </c>
      <c r="S443" s="358">
        <f>IF(Q443&lt;P443,0,ROUNDDOWN(Q443/P443-0.01,0))</f>
        <v>1</v>
      </c>
      <c r="T443" s="359">
        <v>5.0000000000000001E-3</v>
      </c>
      <c r="U443" s="217">
        <v>0</v>
      </c>
      <c r="V443" s="229"/>
      <c r="W443" s="229" t="s">
        <v>332</v>
      </c>
      <c r="X443" s="229"/>
      <c r="Y443" s="229" t="str">
        <f>'MKI-waarden'!$A$4</f>
        <v>Kolommen, aluminium, per kg constructiegewicht.</v>
      </c>
    </row>
    <row r="444" spans="1:25" s="510" customFormat="1" x14ac:dyDescent="0.2">
      <c r="A444" s="494">
        <f>C444</f>
        <v>13</v>
      </c>
      <c r="B444" s="495" t="str">
        <f>B443</f>
        <v>Gebouw</v>
      </c>
      <c r="C444" s="496">
        <f>IF(B444=B443,C443,C443+1)</f>
        <v>13</v>
      </c>
      <c r="D444" s="497">
        <f>F444</f>
        <v>66</v>
      </c>
      <c r="E444" s="498" t="str">
        <f>E443</f>
        <v>loopbrug(dek)</v>
      </c>
      <c r="F444" s="499">
        <f>IF(E444=E443,F443,F443+1)</f>
        <v>66</v>
      </c>
      <c r="G444" s="500"/>
      <c r="H444" s="500" t="s">
        <v>669</v>
      </c>
      <c r="I444" s="321">
        <v>440</v>
      </c>
      <c r="J444" s="501" t="s">
        <v>49</v>
      </c>
      <c r="K444" s="502"/>
      <c r="L444" s="503"/>
      <c r="M444" s="504"/>
      <c r="N444" s="504"/>
      <c r="O444" s="504"/>
      <c r="P444" s="505">
        <v>50</v>
      </c>
      <c r="Q444" s="513">
        <f>'Invoer en resultaat'!$H$9</f>
        <v>100</v>
      </c>
      <c r="R444" s="513">
        <f>Q444-P444</f>
        <v>50</v>
      </c>
      <c r="S444" s="514">
        <f>IF(Q444&lt;P444,0,ROUNDDOWN(Q444/P444-0.01,0))</f>
        <v>1</v>
      </c>
      <c r="T444" s="506"/>
      <c r="U444" s="507"/>
      <c r="V444" s="508" t="s">
        <v>668</v>
      </c>
      <c r="W444" s="509"/>
      <c r="X444" s="509"/>
      <c r="Y444" s="509"/>
    </row>
    <row r="445" spans="1:25" ht="14.25" customHeight="1" x14ac:dyDescent="0.2">
      <c r="A445" s="196">
        <f t="shared" si="391"/>
        <v>14</v>
      </c>
      <c r="B445" s="197" t="s">
        <v>181</v>
      </c>
      <c r="C445" s="210">
        <f>IF(B445=B443,C443,C443+1)</f>
        <v>14</v>
      </c>
      <c r="D445" s="199">
        <f t="shared" si="367"/>
        <v>67</v>
      </c>
      <c r="E445" s="175" t="s">
        <v>38</v>
      </c>
      <c r="F445" s="213">
        <f>IF(E445=E443,F443,F443+1)</f>
        <v>67</v>
      </c>
      <c r="G445" s="201"/>
      <c r="H445" s="205" t="s">
        <v>12</v>
      </c>
      <c r="I445" s="321">
        <v>441</v>
      </c>
      <c r="J445" s="202" t="s">
        <v>50</v>
      </c>
      <c r="K445" s="296">
        <f t="shared" ref="K445:K451" si="435">1-(N445/AVERAGE($N$445:$N$451))</f>
        <v>0.71593709393289862</v>
      </c>
      <c r="L445" s="332">
        <f t="shared" ref="L445:L451" si="436">IF(K445&gt;-1,1-(O445/AVERAGE($O$445:$O$451)),1-(O445/AVERAGE($N$445:$N$451)))</f>
        <v>0.71593709393289862</v>
      </c>
      <c r="M445" s="345">
        <f>U445/'MKI-waarden'!N7*'MKI-waarden'!D7</f>
        <v>0.43448275862068969</v>
      </c>
      <c r="N445" s="345">
        <f t="shared" si="365"/>
        <v>1.7379310344827589E-2</v>
      </c>
      <c r="O445" s="345">
        <f t="shared" ref="O445:O451" si="437">IF(K445&lt;-1,(2*AVERAGE($N$445:$N$451)),N445)</f>
        <v>1.7379310344827589E-2</v>
      </c>
      <c r="P445" s="216">
        <v>25</v>
      </c>
      <c r="Q445" s="216">
        <f>'Invoer en resultaat'!$H$9</f>
        <v>100</v>
      </c>
      <c r="R445" s="203">
        <f t="shared" ref="R445:R450" si="438">Q445-P445</f>
        <v>75</v>
      </c>
      <c r="S445" s="358">
        <f t="shared" ref="S445:S450" si="439">IF(Q445&lt;P445,0,ROUNDDOWN(Q445/P445-0.01,0))</f>
        <v>3</v>
      </c>
      <c r="T445" s="359"/>
      <c r="U445" s="190">
        <v>0.1</v>
      </c>
      <c r="V445" s="274"/>
      <c r="W445" s="140" t="s">
        <v>634</v>
      </c>
      <c r="X445" s="140"/>
      <c r="Y445" s="229" t="str">
        <f>'MKI-waarden'!$A7</f>
        <v>Afrasteringspaal, naaldhout, 3 m1</v>
      </c>
    </row>
    <row r="446" spans="1:25" ht="14.25" customHeight="1" x14ac:dyDescent="0.2">
      <c r="A446" s="196">
        <f t="shared" si="391"/>
        <v>14</v>
      </c>
      <c r="B446" s="197" t="s">
        <v>181</v>
      </c>
      <c r="C446" s="210">
        <f t="shared" si="413"/>
        <v>14</v>
      </c>
      <c r="D446" s="199">
        <f t="shared" si="367"/>
        <v>67</v>
      </c>
      <c r="E446" s="175" t="s">
        <v>38</v>
      </c>
      <c r="F446" s="213">
        <f t="shared" si="395"/>
        <v>67</v>
      </c>
      <c r="G446" s="201"/>
      <c r="H446" s="205" t="s">
        <v>13</v>
      </c>
      <c r="I446" s="321">
        <v>442</v>
      </c>
      <c r="J446" s="202" t="s">
        <v>50</v>
      </c>
      <c r="K446" s="296">
        <f t="shared" si="435"/>
        <v>0.16859258301406999</v>
      </c>
      <c r="L446" s="332">
        <f t="shared" si="436"/>
        <v>0.16859258301406999</v>
      </c>
      <c r="M446" s="345">
        <f>U446/'MKI-waarden'!N6*'MKI-waarden'!D6</f>
        <v>2.5433253012233754</v>
      </c>
      <c r="N446" s="345">
        <f t="shared" si="365"/>
        <v>5.086650602446751E-2</v>
      </c>
      <c r="O446" s="345">
        <f t="shared" si="437"/>
        <v>5.086650602446751E-2</v>
      </c>
      <c r="P446" s="216">
        <v>50</v>
      </c>
      <c r="Q446" s="216">
        <f>'Invoer en resultaat'!$H$9</f>
        <v>100</v>
      </c>
      <c r="R446" s="203">
        <f t="shared" si="438"/>
        <v>50</v>
      </c>
      <c r="S446" s="358">
        <f t="shared" si="439"/>
        <v>1</v>
      </c>
      <c r="T446" s="359"/>
      <c r="U446" s="190">
        <v>0.1</v>
      </c>
      <c r="V446" s="274"/>
      <c r="W446" s="140" t="s">
        <v>634</v>
      </c>
      <c r="X446" s="140"/>
      <c r="Y446" s="229" t="str">
        <f>'MKI-waarden'!$A6</f>
        <v>Afrasteringspaal, hardhout, 1,8 m1</v>
      </c>
    </row>
    <row r="447" spans="1:25" ht="14.25" customHeight="1" x14ac:dyDescent="0.2">
      <c r="A447" s="196">
        <f t="shared" si="391"/>
        <v>14</v>
      </c>
      <c r="B447" s="197" t="s">
        <v>181</v>
      </c>
      <c r="C447" s="210">
        <f t="shared" si="413"/>
        <v>14</v>
      </c>
      <c r="D447" s="199">
        <f t="shared" si="367"/>
        <v>67</v>
      </c>
      <c r="E447" s="175" t="s">
        <v>38</v>
      </c>
      <c r="F447" s="213">
        <f t="shared" si="395"/>
        <v>67</v>
      </c>
      <c r="G447" s="201"/>
      <c r="H447" s="205" t="s">
        <v>154</v>
      </c>
      <c r="I447" s="321">
        <v>443</v>
      </c>
      <c r="J447" s="202" t="s">
        <v>50</v>
      </c>
      <c r="K447" s="296">
        <f t="shared" si="435"/>
        <v>0.5665085566277408</v>
      </c>
      <c r="L447" s="332">
        <f t="shared" si="436"/>
        <v>0.5665085566277408</v>
      </c>
      <c r="M447" s="345">
        <f>U447/'MKI-waarden'!N8*'MKI-waarden'!D8</f>
        <v>1.3260764016147391</v>
      </c>
      <c r="N447" s="345">
        <f t="shared" si="365"/>
        <v>2.6521528032294781E-2</v>
      </c>
      <c r="O447" s="345">
        <f t="shared" si="437"/>
        <v>2.6521528032294781E-2</v>
      </c>
      <c r="P447" s="216">
        <v>50</v>
      </c>
      <c r="Q447" s="216">
        <f>'Invoer en resultaat'!$H$9</f>
        <v>100</v>
      </c>
      <c r="R447" s="203">
        <f t="shared" si="438"/>
        <v>50</v>
      </c>
      <c r="S447" s="358">
        <f t="shared" si="439"/>
        <v>1</v>
      </c>
      <c r="T447" s="359"/>
      <c r="U447" s="190">
        <v>0.1</v>
      </c>
      <c r="V447" s="274"/>
      <c r="W447" s="140" t="s">
        <v>634</v>
      </c>
      <c r="X447" s="140"/>
      <c r="Y447" s="229" t="str">
        <f>'MKI-waarden'!$A8</f>
        <v>Afrasteringspaal, kastanjehout</v>
      </c>
    </row>
    <row r="448" spans="1:25" ht="14.25" customHeight="1" x14ac:dyDescent="0.2">
      <c r="A448" s="196">
        <f t="shared" si="391"/>
        <v>14</v>
      </c>
      <c r="B448" s="197" t="s">
        <v>181</v>
      </c>
      <c r="C448" s="210">
        <f>IF(B448=B447,C447,C447+1)</f>
        <v>14</v>
      </c>
      <c r="D448" s="199">
        <f t="shared" si="367"/>
        <v>67</v>
      </c>
      <c r="E448" s="175" t="s">
        <v>38</v>
      </c>
      <c r="F448" s="213">
        <f>IF(E448=E447,F447,F447+1)</f>
        <v>67</v>
      </c>
      <c r="G448" s="201"/>
      <c r="H448" s="205" t="s">
        <v>629</v>
      </c>
      <c r="I448" s="321">
        <v>444</v>
      </c>
      <c r="J448" s="202" t="s">
        <v>50</v>
      </c>
      <c r="K448" s="296">
        <f t="shared" si="435"/>
        <v>-0.52240970179046231</v>
      </c>
      <c r="L448" s="332">
        <f t="shared" si="436"/>
        <v>-0.52240970179046231</v>
      </c>
      <c r="M448" s="345">
        <f>U448/'MKI-waarden'!N9*'MKI-waarden'!D9</f>
        <v>4.6571428571428566</v>
      </c>
      <c r="N448" s="345">
        <f t="shared" si="365"/>
        <v>9.3142857142857138E-2</v>
      </c>
      <c r="O448" s="345">
        <f t="shared" si="437"/>
        <v>9.3142857142857138E-2</v>
      </c>
      <c r="P448" s="216">
        <v>50</v>
      </c>
      <c r="Q448" s="216">
        <f>'Invoer en resultaat'!$H$9</f>
        <v>100</v>
      </c>
      <c r="R448" s="203">
        <f t="shared" si="438"/>
        <v>50</v>
      </c>
      <c r="S448" s="358">
        <f t="shared" si="439"/>
        <v>1</v>
      </c>
      <c r="T448" s="359"/>
      <c r="U448" s="190">
        <v>0.1</v>
      </c>
      <c r="V448" s="274" t="s">
        <v>639</v>
      </c>
      <c r="W448" s="140" t="s">
        <v>634</v>
      </c>
      <c r="X448" s="184"/>
      <c r="Y448" s="229" t="str">
        <f>'MKI-waarden'!$A9</f>
        <v>Afrasteringspaal, kunststof gerecycled</v>
      </c>
    </row>
    <row r="449" spans="1:25" ht="14.25" customHeight="1" x14ac:dyDescent="0.2">
      <c r="A449" s="196">
        <f t="shared" si="391"/>
        <v>14</v>
      </c>
      <c r="B449" s="197" t="s">
        <v>181</v>
      </c>
      <c r="C449" s="210">
        <f t="shared" si="413"/>
        <v>14</v>
      </c>
      <c r="D449" s="199">
        <f t="shared" si="367"/>
        <v>67</v>
      </c>
      <c r="E449" s="175" t="s">
        <v>38</v>
      </c>
      <c r="F449" s="213">
        <f t="shared" si="395"/>
        <v>67</v>
      </c>
      <c r="G449" s="201"/>
      <c r="H449" s="205" t="s">
        <v>114</v>
      </c>
      <c r="I449" s="321">
        <v>445</v>
      </c>
      <c r="J449" s="202" t="s">
        <v>50</v>
      </c>
      <c r="K449" s="296">
        <f t="shared" si="435"/>
        <v>-0.52240970179046231</v>
      </c>
      <c r="L449" s="332">
        <f t="shared" si="436"/>
        <v>-0.52240970179046231</v>
      </c>
      <c r="M449" s="345">
        <f>M448</f>
        <v>4.6571428571428566</v>
      </c>
      <c r="N449" s="345">
        <f t="shared" si="365"/>
        <v>9.3142857142857138E-2</v>
      </c>
      <c r="O449" s="345">
        <f t="shared" si="437"/>
        <v>9.3142857142857138E-2</v>
      </c>
      <c r="P449" s="216">
        <v>50</v>
      </c>
      <c r="Q449" s="216">
        <f>'Invoer en resultaat'!$H$9</f>
        <v>100</v>
      </c>
      <c r="R449" s="203">
        <f t="shared" si="438"/>
        <v>50</v>
      </c>
      <c r="S449" s="358">
        <f t="shared" si="439"/>
        <v>1</v>
      </c>
      <c r="T449" s="359"/>
      <c r="U449" s="190">
        <v>0.1</v>
      </c>
      <c r="V449" s="274" t="s">
        <v>639</v>
      </c>
      <c r="W449" s="140" t="s">
        <v>634</v>
      </c>
      <c r="X449" s="184"/>
      <c r="Y449" s="229" t="str">
        <f>'MKI-waarden'!$A9</f>
        <v>Afrasteringspaal, kunststof gerecycled</v>
      </c>
    </row>
    <row r="450" spans="1:25" ht="14.25" customHeight="1" x14ac:dyDescent="0.2">
      <c r="A450" s="196">
        <f t="shared" si="391"/>
        <v>14</v>
      </c>
      <c r="B450" s="197" t="s">
        <v>181</v>
      </c>
      <c r="C450" s="210">
        <f t="shared" si="413"/>
        <v>14</v>
      </c>
      <c r="D450" s="199">
        <f t="shared" si="367"/>
        <v>67</v>
      </c>
      <c r="E450" s="175" t="s">
        <v>38</v>
      </c>
      <c r="F450" s="213">
        <f t="shared" si="395"/>
        <v>67</v>
      </c>
      <c r="G450" s="201"/>
      <c r="H450" s="205" t="s">
        <v>6</v>
      </c>
      <c r="I450" s="321">
        <v>446</v>
      </c>
      <c r="J450" s="202" t="s">
        <v>50</v>
      </c>
      <c r="K450" s="296">
        <f t="shared" si="435"/>
        <v>-0.17922738999212973</v>
      </c>
      <c r="L450" s="332">
        <f t="shared" si="436"/>
        <v>-0.17922738999212973</v>
      </c>
      <c r="M450" s="345">
        <f>(((PI()*0.105^2))-(PI()*0.1^2))*'MKI-waarden'!D5</f>
        <v>3.6073275214879912</v>
      </c>
      <c r="N450" s="345">
        <f t="shared" si="365"/>
        <v>7.2146550429759829E-2</v>
      </c>
      <c r="O450" s="345">
        <f t="shared" si="437"/>
        <v>7.2146550429759829E-2</v>
      </c>
      <c r="P450" s="216">
        <v>50</v>
      </c>
      <c r="Q450" s="216">
        <f>'Invoer en resultaat'!$H$9</f>
        <v>100</v>
      </c>
      <c r="R450" s="203">
        <f t="shared" si="438"/>
        <v>50</v>
      </c>
      <c r="S450" s="358">
        <f t="shared" si="439"/>
        <v>1</v>
      </c>
      <c r="T450" s="359">
        <v>5.0000000000000001E-3</v>
      </c>
      <c r="U450" s="190">
        <v>0.1</v>
      </c>
      <c r="V450" s="274"/>
      <c r="W450" s="140" t="s">
        <v>638</v>
      </c>
      <c r="X450" s="140"/>
      <c r="Y450" s="140" t="str">
        <f>'MKI-waarden'!A5</f>
        <v>Kolommen, aluminium, per kg constructiegewicht.</v>
      </c>
    </row>
    <row r="451" spans="1:25" ht="14.25" customHeight="1" x14ac:dyDescent="0.2">
      <c r="A451" s="196">
        <f>C451</f>
        <v>14</v>
      </c>
      <c r="B451" s="197" t="s">
        <v>181</v>
      </c>
      <c r="C451" s="198">
        <f>IF(B451=B450,C450,C450+1)</f>
        <v>14</v>
      </c>
      <c r="D451" s="199">
        <f>F451</f>
        <v>67</v>
      </c>
      <c r="E451" s="175" t="s">
        <v>38</v>
      </c>
      <c r="F451" s="200">
        <f>IF(E451=E450,F450,F450+1)</f>
        <v>67</v>
      </c>
      <c r="G451" s="201"/>
      <c r="H451" s="205" t="s">
        <v>11</v>
      </c>
      <c r="I451" s="321">
        <v>447</v>
      </c>
      <c r="J451" s="202" t="s">
        <v>50</v>
      </c>
      <c r="K451" s="292">
        <f t="shared" si="435"/>
        <v>-0.22699144000165616</v>
      </c>
      <c r="L451" s="331">
        <f t="shared" si="436"/>
        <v>-0.22699144000165616</v>
      </c>
      <c r="M451" s="342">
        <f>(((PI()*0.105^2))-(PI()*0.1^2))*'MKI-waarden'!D27</f>
        <v>3.7534406236762332</v>
      </c>
      <c r="N451" s="342">
        <f>IFERROR(IF(Q451&lt;P451,M451/Q451,M451/P451),"")</f>
        <v>7.5068812473524663E-2</v>
      </c>
      <c r="O451" s="342">
        <f t="shared" si="437"/>
        <v>7.5068812473524663E-2</v>
      </c>
      <c r="P451" s="203">
        <v>50</v>
      </c>
      <c r="Q451" s="203">
        <f>'Invoer en resultaat'!$H$9</f>
        <v>100</v>
      </c>
      <c r="R451" s="203">
        <f>Q451-P451</f>
        <v>50</v>
      </c>
      <c r="S451" s="357">
        <f>IF(Q451&lt;P451,0,ROUNDDOWN(Q451/P451-0.01,0))</f>
        <v>1</v>
      </c>
      <c r="T451" s="354">
        <v>5.0000000000000001E-3</v>
      </c>
      <c r="U451" s="190">
        <v>0.1</v>
      </c>
      <c r="V451" s="174"/>
      <c r="W451" s="140" t="s">
        <v>638</v>
      </c>
      <c r="X451" s="334"/>
      <c r="Y451" s="140" t="str">
        <f>'MKI-waarden'!A27</f>
        <v>Constructies in kg of m3, wapeningstaal</v>
      </c>
    </row>
    <row r="452" spans="1:25" s="510" customFormat="1" x14ac:dyDescent="0.2">
      <c r="A452" s="494">
        <f>C452</f>
        <v>14</v>
      </c>
      <c r="B452" s="495" t="str">
        <f>B451</f>
        <v>Afrastering, Hekwerk</v>
      </c>
      <c r="C452" s="496">
        <f>IF(B452=B451,C451,C451+1)</f>
        <v>14</v>
      </c>
      <c r="D452" s="497">
        <f>F452</f>
        <v>67</v>
      </c>
      <c r="E452" s="498" t="str">
        <f>E451</f>
        <v>afrasteringspalen</v>
      </c>
      <c r="F452" s="499">
        <f>IF(E452=E451,F451,F451+1)</f>
        <v>67</v>
      </c>
      <c r="G452" s="500"/>
      <c r="H452" s="500" t="s">
        <v>669</v>
      </c>
      <c r="I452" s="321">
        <v>448</v>
      </c>
      <c r="J452" s="501" t="s">
        <v>49</v>
      </c>
      <c r="K452" s="502"/>
      <c r="L452" s="503"/>
      <c r="M452" s="504"/>
      <c r="N452" s="504"/>
      <c r="O452" s="504"/>
      <c r="P452" s="505">
        <v>50</v>
      </c>
      <c r="Q452" s="513">
        <f>'Invoer en resultaat'!$H$9</f>
        <v>100</v>
      </c>
      <c r="R452" s="513">
        <f>Q452-P452</f>
        <v>50</v>
      </c>
      <c r="S452" s="514">
        <f>IF(Q452&lt;P452,0,ROUNDDOWN(Q452/P452-0.01,0))</f>
        <v>1</v>
      </c>
      <c r="T452" s="506"/>
      <c r="U452" s="507"/>
      <c r="V452" s="508" t="s">
        <v>668</v>
      </c>
      <c r="W452" s="509"/>
      <c r="X452" s="509"/>
      <c r="Y452" s="509"/>
    </row>
    <row r="453" spans="1:25" s="438" customFormat="1" ht="14.25" customHeight="1" x14ac:dyDescent="0.2">
      <c r="A453" s="316">
        <f t="shared" si="391"/>
        <v>14</v>
      </c>
      <c r="B453" s="317" t="s">
        <v>181</v>
      </c>
      <c r="C453" s="318">
        <f>IF(B453=B451,C451,C451+1)</f>
        <v>14</v>
      </c>
      <c r="D453" s="319">
        <f t="shared" si="367"/>
        <v>68</v>
      </c>
      <c r="E453" s="339" t="s">
        <v>10</v>
      </c>
      <c r="F453" s="321">
        <f>IF(E453=E451,F451,F451+1)</f>
        <v>68</v>
      </c>
      <c r="G453" s="322"/>
      <c r="H453" s="339" t="s">
        <v>26</v>
      </c>
      <c r="I453" s="321">
        <v>449</v>
      </c>
      <c r="J453" s="323" t="s">
        <v>49</v>
      </c>
      <c r="K453" s="296">
        <f t="shared" ref="K453:Y453" si="440">K401</f>
        <v>-0.60718057022175276</v>
      </c>
      <c r="L453" s="331">
        <f t="shared" si="440"/>
        <v>-0.60718057022175276</v>
      </c>
      <c r="M453" s="345">
        <f t="shared" si="440"/>
        <v>7.61</v>
      </c>
      <c r="N453" s="345">
        <f t="shared" si="440"/>
        <v>0.10146666666666668</v>
      </c>
      <c r="O453" s="345">
        <f t="shared" si="440"/>
        <v>0.10146666666666668</v>
      </c>
      <c r="P453" s="216">
        <f t="shared" si="440"/>
        <v>75</v>
      </c>
      <c r="Q453" s="203">
        <f t="shared" si="440"/>
        <v>100</v>
      </c>
      <c r="R453" s="203">
        <f t="shared" si="440"/>
        <v>25</v>
      </c>
      <c r="S453" s="358">
        <f t="shared" si="440"/>
        <v>1</v>
      </c>
      <c r="T453" s="359">
        <f t="shared" si="440"/>
        <v>0</v>
      </c>
      <c r="U453" s="217">
        <f t="shared" si="440"/>
        <v>0</v>
      </c>
      <c r="V453" s="174" t="str">
        <f t="shared" si="440"/>
        <v>2 m hoog</v>
      </c>
      <c r="W453" s="140" t="str">
        <f t="shared" si="440"/>
        <v>Staafmathekwerk</v>
      </c>
      <c r="X453" s="140">
        <f t="shared" si="440"/>
        <v>0</v>
      </c>
      <c r="Y453" s="140" t="str">
        <f t="shared" si="440"/>
        <v>Staafmathekwerk</v>
      </c>
    </row>
    <row r="454" spans="1:25" s="259" customFormat="1" ht="14.25" customHeight="1" x14ac:dyDescent="0.2">
      <c r="A454" s="208">
        <f t="shared" si="391"/>
        <v>14</v>
      </c>
      <c r="B454" s="209" t="s">
        <v>181</v>
      </c>
      <c r="C454" s="210">
        <f t="shared" si="413"/>
        <v>14</v>
      </c>
      <c r="D454" s="211">
        <f t="shared" si="367"/>
        <v>68</v>
      </c>
      <c r="E454" s="232" t="s">
        <v>10</v>
      </c>
      <c r="F454" s="213">
        <f t="shared" si="395"/>
        <v>68</v>
      </c>
      <c r="G454" s="214"/>
      <c r="H454" s="232" t="s">
        <v>11</v>
      </c>
      <c r="I454" s="321">
        <v>450</v>
      </c>
      <c r="J454" s="215" t="s">
        <v>49</v>
      </c>
      <c r="K454" s="296">
        <f t="shared" ref="K454:Y454" si="441">K402</f>
        <v>0.60718057022175298</v>
      </c>
      <c r="L454" s="331">
        <f t="shared" si="441"/>
        <v>0.60718057022175298</v>
      </c>
      <c r="M454" s="345">
        <f t="shared" si="441"/>
        <v>1.86</v>
      </c>
      <c r="N454" s="345">
        <f t="shared" si="441"/>
        <v>2.4800000000000003E-2</v>
      </c>
      <c r="O454" s="345">
        <f t="shared" si="441"/>
        <v>2.4800000000000003E-2</v>
      </c>
      <c r="P454" s="216">
        <f t="shared" si="441"/>
        <v>75</v>
      </c>
      <c r="Q454" s="203">
        <f t="shared" si="441"/>
        <v>100</v>
      </c>
      <c r="R454" s="203">
        <f t="shared" si="441"/>
        <v>25</v>
      </c>
      <c r="S454" s="358">
        <f t="shared" si="441"/>
        <v>1</v>
      </c>
      <c r="T454" s="359">
        <f t="shared" si="441"/>
        <v>0</v>
      </c>
      <c r="U454" s="217">
        <f t="shared" si="441"/>
        <v>0</v>
      </c>
      <c r="V454" s="218" t="str">
        <f t="shared" si="441"/>
        <v>1,2 m hoog</v>
      </c>
      <c r="W454" s="229" t="str">
        <f t="shared" si="441"/>
        <v>Gaashekwerk</v>
      </c>
      <c r="X454" s="229">
        <f t="shared" si="441"/>
        <v>0</v>
      </c>
      <c r="Y454" s="140" t="str">
        <f t="shared" si="441"/>
        <v>Gaashekwerk</v>
      </c>
    </row>
    <row r="455" spans="1:25" s="438" customFormat="1" ht="14.25" customHeight="1" x14ac:dyDescent="0.2">
      <c r="A455" s="316">
        <f t="shared" si="391"/>
        <v>15</v>
      </c>
      <c r="B455" s="487" t="s">
        <v>182</v>
      </c>
      <c r="C455" s="318">
        <f t="shared" si="413"/>
        <v>15</v>
      </c>
      <c r="D455" s="319">
        <f t="shared" si="367"/>
        <v>69</v>
      </c>
      <c r="E455" s="330" t="s">
        <v>325</v>
      </c>
      <c r="F455" s="321">
        <f t="shared" si="395"/>
        <v>69</v>
      </c>
      <c r="G455" s="322"/>
      <c r="H455" s="330" t="s">
        <v>127</v>
      </c>
      <c r="I455" s="321">
        <v>451</v>
      </c>
      <c r="J455" s="323" t="s">
        <v>49</v>
      </c>
      <c r="K455" s="324">
        <f t="shared" ref="K455:K463" si="442">1-(N455/AVERAGE($N$455:$N$464))</f>
        <v>0.58678400146851262</v>
      </c>
      <c r="L455" s="325">
        <f t="shared" ref="L455:L463" si="443">IF(K455&gt;-1,1-(O455/AVERAGE($O$455:$O$464)),1-(O455/AVERAGE($N$455:$N$464)))</f>
        <v>0.47266831388816877</v>
      </c>
      <c r="M455" s="343">
        <f>T455/'MKI-waarden'!N43*'MKI-waarden'!D43</f>
        <v>3.1300749999999997</v>
      </c>
      <c r="N455" s="343">
        <f t="shared" ref="N455:N464" si="444">IFERROR(IF(Q455&lt;P455,M455/Q455,M455/P455),"")</f>
        <v>6.260149999999999E-2</v>
      </c>
      <c r="O455" s="345">
        <f t="shared" ref="O455:O460" si="445">IF(K455&lt;-1,(2*AVERAGE($N$445:$N$451)),N455)</f>
        <v>6.260149999999999E-2</v>
      </c>
      <c r="P455" s="326">
        <v>50</v>
      </c>
      <c r="Q455" s="326">
        <f>'Invoer en resultaat'!$H$9</f>
        <v>100</v>
      </c>
      <c r="R455" s="326">
        <f t="shared" ref="R455:R464" si="446">Q455-P455</f>
        <v>50</v>
      </c>
      <c r="S455" s="355">
        <f t="shared" si="398"/>
        <v>1</v>
      </c>
      <c r="T455" s="356">
        <v>5.0000000000000001E-3</v>
      </c>
      <c r="U455" s="327">
        <v>0</v>
      </c>
      <c r="V455" s="437"/>
      <c r="W455" s="329"/>
      <c r="X455" s="329"/>
      <c r="Y455" s="329" t="str">
        <f>'MKI-waarden'!A43</f>
        <v>Damwand PE nieuw</v>
      </c>
    </row>
    <row r="456" spans="1:25" ht="14.25" customHeight="1" x14ac:dyDescent="0.2">
      <c r="A456" s="196">
        <f t="shared" si="391"/>
        <v>15</v>
      </c>
      <c r="B456" s="197" t="s">
        <v>182</v>
      </c>
      <c r="C456" s="198">
        <f t="shared" si="413"/>
        <v>15</v>
      </c>
      <c r="D456" s="199">
        <f t="shared" si="367"/>
        <v>69</v>
      </c>
      <c r="E456" s="205" t="s">
        <v>325</v>
      </c>
      <c r="F456" s="200">
        <f t="shared" si="395"/>
        <v>69</v>
      </c>
      <c r="G456" s="201"/>
      <c r="H456" s="205" t="s">
        <v>640</v>
      </c>
      <c r="I456" s="321">
        <v>452</v>
      </c>
      <c r="J456" s="202" t="s">
        <v>49</v>
      </c>
      <c r="K456" s="324">
        <f t="shared" si="442"/>
        <v>0.36481113809277688</v>
      </c>
      <c r="L456" s="325">
        <f t="shared" si="443"/>
        <v>0.18939437306547724</v>
      </c>
      <c r="M456" s="343">
        <f>T456/'MKI-waarden'!N57*'MKI-waarden'!D57</f>
        <v>4.8114999999999997</v>
      </c>
      <c r="N456" s="343">
        <f t="shared" ref="N456:N460" si="447">IFERROR(IF(Q456&lt;P456,M456/Q456,M456/P456),"")</f>
        <v>9.6229999999999996E-2</v>
      </c>
      <c r="O456" s="345">
        <f t="shared" si="445"/>
        <v>9.6229999999999996E-2</v>
      </c>
      <c r="P456" s="203">
        <v>50</v>
      </c>
      <c r="Q456" s="203">
        <f>'Invoer en resultaat'!$H$9</f>
        <v>100</v>
      </c>
      <c r="R456" s="203">
        <f t="shared" si="446"/>
        <v>50</v>
      </c>
      <c r="S456" s="357">
        <f t="shared" si="398"/>
        <v>1</v>
      </c>
      <c r="T456" s="354">
        <v>5.0000000000000001E-3</v>
      </c>
      <c r="U456" s="190">
        <v>0</v>
      </c>
      <c r="V456" s="274"/>
      <c r="W456" s="140"/>
      <c r="X456" s="140"/>
      <c r="Y456" s="140" t="str">
        <f>'MKI-waarden'!A57</f>
        <v>Gewapend rubber (chloropreen met staal)</v>
      </c>
    </row>
    <row r="457" spans="1:25" ht="14.25" customHeight="1" x14ac:dyDescent="0.2">
      <c r="A457" s="196">
        <f t="shared" si="391"/>
        <v>15</v>
      </c>
      <c r="B457" s="197" t="s">
        <v>182</v>
      </c>
      <c r="C457" s="198">
        <f t="shared" si="413"/>
        <v>15</v>
      </c>
      <c r="D457" s="199">
        <f t="shared" si="367"/>
        <v>69</v>
      </c>
      <c r="E457" s="205" t="s">
        <v>325</v>
      </c>
      <c r="F457" s="200">
        <f t="shared" si="395"/>
        <v>69</v>
      </c>
      <c r="G457" s="201"/>
      <c r="H457" s="205" t="s">
        <v>646</v>
      </c>
      <c r="I457" s="321">
        <v>453</v>
      </c>
      <c r="J457" s="202" t="s">
        <v>49</v>
      </c>
      <c r="K457" s="324">
        <f t="shared" si="442"/>
        <v>0.41913519850529313</v>
      </c>
      <c r="L457" s="325">
        <f t="shared" si="443"/>
        <v>0.2587208233374414</v>
      </c>
      <c r="M457" s="343">
        <f>'MKI-waarden'!D116</f>
        <v>3.08</v>
      </c>
      <c r="N457" s="343">
        <f t="shared" si="447"/>
        <v>8.8000000000000009E-2</v>
      </c>
      <c r="O457" s="345">
        <f t="shared" si="445"/>
        <v>8.8000000000000009E-2</v>
      </c>
      <c r="P457" s="203">
        <v>35</v>
      </c>
      <c r="Q457" s="203">
        <f>'Invoer en resultaat'!$H$9</f>
        <v>100</v>
      </c>
      <c r="R457" s="203">
        <f t="shared" si="446"/>
        <v>65</v>
      </c>
      <c r="S457" s="357">
        <f t="shared" si="398"/>
        <v>2</v>
      </c>
      <c r="T457" s="366">
        <v>8.5000000000000006E-5</v>
      </c>
      <c r="U457" s="190"/>
      <c r="V457" s="274" t="s">
        <v>643</v>
      </c>
      <c r="W457" s="140"/>
      <c r="X457" s="140"/>
      <c r="Y457" s="140" t="str">
        <f>'MKI-waarden'!A116</f>
        <v>Thermisch verzinken, toepassing landinwaarts</v>
      </c>
    </row>
    <row r="458" spans="1:25" ht="14.25" customHeight="1" x14ac:dyDescent="0.2">
      <c r="A458" s="196">
        <f t="shared" si="391"/>
        <v>15</v>
      </c>
      <c r="B458" s="197" t="s">
        <v>182</v>
      </c>
      <c r="C458" s="198">
        <f t="shared" si="413"/>
        <v>15</v>
      </c>
      <c r="D458" s="199">
        <f t="shared" si="367"/>
        <v>69</v>
      </c>
      <c r="E458" s="205" t="s">
        <v>325</v>
      </c>
      <c r="F458" s="200">
        <f t="shared" si="395"/>
        <v>69</v>
      </c>
      <c r="G458" s="201"/>
      <c r="H458" s="205" t="s">
        <v>650</v>
      </c>
      <c r="I458" s="321">
        <v>454</v>
      </c>
      <c r="J458" s="202" t="s">
        <v>49</v>
      </c>
      <c r="K458" s="324">
        <f t="shared" si="442"/>
        <v>-1.6513402615736972E-2</v>
      </c>
      <c r="L458" s="325">
        <f t="shared" si="443"/>
        <v>-0.29723855915947728</v>
      </c>
      <c r="M458" s="343">
        <f>M457</f>
        <v>3.08</v>
      </c>
      <c r="N458" s="343">
        <f t="shared" ref="N458" si="448">IFERROR(IF(Q458&lt;P458,M458/Q458,M458/P458),"")</f>
        <v>0.154</v>
      </c>
      <c r="O458" s="345">
        <f t="shared" si="445"/>
        <v>0.154</v>
      </c>
      <c r="P458" s="203">
        <v>20</v>
      </c>
      <c r="Q458" s="203">
        <f>'Invoer en resultaat'!$H$9</f>
        <v>100</v>
      </c>
      <c r="R458" s="203">
        <f t="shared" ref="R458" si="449">Q458-P458</f>
        <v>80</v>
      </c>
      <c r="S458" s="357">
        <f t="shared" ref="S458" si="450">IF(Q458&lt;P458,0,ROUNDDOWN(Q458/P458-0.01,0))</f>
        <v>4</v>
      </c>
      <c r="T458" s="366">
        <v>8.5000000000000006E-5</v>
      </c>
      <c r="U458" s="190"/>
      <c r="V458" s="274" t="s">
        <v>649</v>
      </c>
      <c r="W458" s="140"/>
      <c r="X458" s="140"/>
      <c r="Y458" s="140" t="s">
        <v>651</v>
      </c>
    </row>
    <row r="459" spans="1:25" ht="14.25" customHeight="1" x14ac:dyDescent="0.2">
      <c r="A459" s="196">
        <f t="shared" si="391"/>
        <v>15</v>
      </c>
      <c r="B459" s="197" t="s">
        <v>182</v>
      </c>
      <c r="C459" s="198">
        <f>IF(B459=B457,C457,C457+1)</f>
        <v>15</v>
      </c>
      <c r="D459" s="199">
        <f t="shared" si="367"/>
        <v>69</v>
      </c>
      <c r="E459" s="205" t="s">
        <v>325</v>
      </c>
      <c r="F459" s="200">
        <f>IF(E459=E457,F457,F457+1)</f>
        <v>69</v>
      </c>
      <c r="G459" s="201"/>
      <c r="H459" s="205" t="s">
        <v>5</v>
      </c>
      <c r="I459" s="321">
        <v>455</v>
      </c>
      <c r="J459" s="202" t="s">
        <v>49</v>
      </c>
      <c r="K459" s="324">
        <f t="shared" si="442"/>
        <v>0.56683327575808373</v>
      </c>
      <c r="L459" s="325">
        <f t="shared" si="443"/>
        <v>0.44720790125791221</v>
      </c>
      <c r="M459" s="343">
        <f>T459/'MKI-waarden'!N42*'MKI-waarden'!D42</f>
        <v>3.2811999999999997</v>
      </c>
      <c r="N459" s="343">
        <f t="shared" si="447"/>
        <v>6.5623999999999988E-2</v>
      </c>
      <c r="O459" s="345">
        <f t="shared" si="445"/>
        <v>6.5623999999999988E-2</v>
      </c>
      <c r="P459" s="203">
        <v>50</v>
      </c>
      <c r="Q459" s="203">
        <f>'Invoer en resultaat'!$H$9</f>
        <v>100</v>
      </c>
      <c r="R459" s="203">
        <f t="shared" si="446"/>
        <v>50</v>
      </c>
      <c r="S459" s="357">
        <f t="shared" ref="S459:S464" si="451">IF(Q459&lt;P459,0,ROUNDDOWN(Q459/P459-0.01,0))</f>
        <v>1</v>
      </c>
      <c r="T459" s="354">
        <v>5.0000000000000001E-3</v>
      </c>
      <c r="U459" s="190">
        <v>0</v>
      </c>
      <c r="V459" s="274"/>
      <c r="W459" s="140"/>
      <c r="X459" s="140"/>
      <c r="Y459" s="140" t="str">
        <f>'MKI-waarden'!A42</f>
        <v>Damwand PCV nieuw</v>
      </c>
    </row>
    <row r="460" spans="1:25" ht="14.25" customHeight="1" x14ac:dyDescent="0.2">
      <c r="A460" s="196">
        <f t="shared" si="391"/>
        <v>15</v>
      </c>
      <c r="B460" s="197" t="s">
        <v>182</v>
      </c>
      <c r="C460" s="198">
        <f t="shared" si="413"/>
        <v>15</v>
      </c>
      <c r="D460" s="199">
        <f t="shared" ref="D460:D463" si="452">F460</f>
        <v>69</v>
      </c>
      <c r="E460" s="205" t="s">
        <v>325</v>
      </c>
      <c r="F460" s="200">
        <f t="shared" si="395"/>
        <v>69</v>
      </c>
      <c r="G460" s="201"/>
      <c r="H460" s="205" t="s">
        <v>41</v>
      </c>
      <c r="I460" s="321">
        <v>456</v>
      </c>
      <c r="J460" s="202" t="s">
        <v>49</v>
      </c>
      <c r="K460" s="324">
        <f t="shared" si="442"/>
        <v>0.83312513337740834</v>
      </c>
      <c r="L460" s="325">
        <f t="shared" si="443"/>
        <v>0.78704017971590556</v>
      </c>
      <c r="M460" s="343">
        <f>T460/'MKI-waarden'!N12*'MKI-waarden'!D12</f>
        <v>0.5056250000000001</v>
      </c>
      <c r="N460" s="343">
        <f t="shared" si="447"/>
        <v>2.5281250000000005E-2</v>
      </c>
      <c r="O460" s="345">
        <f t="shared" si="445"/>
        <v>2.5281250000000005E-2</v>
      </c>
      <c r="P460" s="203">
        <v>20</v>
      </c>
      <c r="Q460" s="203">
        <f>'Invoer en resultaat'!$H$9</f>
        <v>100</v>
      </c>
      <c r="R460" s="203">
        <f t="shared" si="446"/>
        <v>80</v>
      </c>
      <c r="S460" s="357">
        <f t="shared" si="451"/>
        <v>4</v>
      </c>
      <c r="T460" s="354">
        <v>2.5000000000000001E-2</v>
      </c>
      <c r="U460" s="190">
        <v>0</v>
      </c>
      <c r="V460" s="274"/>
      <c r="W460" s="140"/>
      <c r="X460" s="140"/>
      <c r="Y460" s="140" t="str">
        <f>'MKI-waarden'!A22</f>
        <v>Bitumen gemod. Tweelaags, 6,9 mm 8,7 kg /m2 gekleefd brandmethode</v>
      </c>
    </row>
    <row r="461" spans="1:25" ht="14.25" customHeight="1" x14ac:dyDescent="0.2">
      <c r="A461" s="196">
        <f t="shared" si="391"/>
        <v>15</v>
      </c>
      <c r="B461" s="197" t="s">
        <v>182</v>
      </c>
      <c r="C461" s="198">
        <f t="shared" si="413"/>
        <v>15</v>
      </c>
      <c r="D461" s="199">
        <f t="shared" si="452"/>
        <v>69</v>
      </c>
      <c r="E461" s="205" t="s">
        <v>325</v>
      </c>
      <c r="F461" s="200">
        <f t="shared" si="395"/>
        <v>69</v>
      </c>
      <c r="G461" s="201"/>
      <c r="H461" s="205" t="s">
        <v>647</v>
      </c>
      <c r="I461" s="321">
        <v>457</v>
      </c>
      <c r="J461" s="202" t="s">
        <v>49</v>
      </c>
      <c r="K461" s="324">
        <f t="shared" si="442"/>
        <v>0.69123075358727948</v>
      </c>
      <c r="L461" s="325">
        <f t="shared" si="443"/>
        <v>0.60595957584180493</v>
      </c>
      <c r="M461" s="342">
        <f>'MKI-waarden'!D64</f>
        <v>4.6778000000000004</v>
      </c>
      <c r="N461" s="342">
        <f t="shared" si="444"/>
        <v>4.6778000000000007E-2</v>
      </c>
      <c r="O461" s="342">
        <f>IF(K461&lt;-1,(2*AVERAGE($N$455:$N$464)),N461)</f>
        <v>4.6778000000000007E-2</v>
      </c>
      <c r="P461" s="203">
        <v>100</v>
      </c>
      <c r="Q461" s="203">
        <f>'Invoer en resultaat'!$H$9</f>
        <v>100</v>
      </c>
      <c r="R461" s="203">
        <f t="shared" si="446"/>
        <v>0</v>
      </c>
      <c r="S461" s="357">
        <f t="shared" si="451"/>
        <v>0</v>
      </c>
      <c r="T461" s="354"/>
      <c r="U461" s="190">
        <v>0</v>
      </c>
      <c r="V461" s="274"/>
      <c r="W461" s="140"/>
      <c r="X461" s="140" t="s">
        <v>390</v>
      </c>
      <c r="Y461" s="140" t="str">
        <f>'MKI-waarden'!A64</f>
        <v>Metalliseersysteem voor staalconstructies</v>
      </c>
    </row>
    <row r="462" spans="1:25" ht="14.25" customHeight="1" x14ac:dyDescent="0.2">
      <c r="A462" s="196">
        <f t="shared" si="391"/>
        <v>15</v>
      </c>
      <c r="B462" s="197" t="s">
        <v>182</v>
      </c>
      <c r="C462" s="198">
        <f t="shared" si="413"/>
        <v>15</v>
      </c>
      <c r="D462" s="199">
        <f t="shared" si="452"/>
        <v>69</v>
      </c>
      <c r="E462" s="205" t="s">
        <v>325</v>
      </c>
      <c r="F462" s="200">
        <f t="shared" si="395"/>
        <v>69</v>
      </c>
      <c r="G462" s="201"/>
      <c r="H462" s="205" t="s">
        <v>648</v>
      </c>
      <c r="I462" s="321">
        <v>458</v>
      </c>
      <c r="J462" s="202" t="s">
        <v>49</v>
      </c>
      <c r="K462" s="324">
        <f t="shared" si="442"/>
        <v>0.71861496458010943</v>
      </c>
      <c r="L462" s="325">
        <f t="shared" si="443"/>
        <v>0.64090634026286053</v>
      </c>
      <c r="M462" s="342">
        <f>'MKI-waarden'!D88</f>
        <v>4.2629340000000004</v>
      </c>
      <c r="N462" s="342">
        <f t="shared" si="444"/>
        <v>4.2629340000000002E-2</v>
      </c>
      <c r="O462" s="342">
        <f>IF(K462&lt;-1,(2*AVERAGE($N$455:$N$464)),N462)</f>
        <v>4.2629340000000002E-2</v>
      </c>
      <c r="P462" s="203">
        <v>100</v>
      </c>
      <c r="Q462" s="203">
        <f>'Invoer en resultaat'!$H$9</f>
        <v>100</v>
      </c>
      <c r="R462" s="203">
        <f t="shared" si="446"/>
        <v>0</v>
      </c>
      <c r="S462" s="357">
        <f t="shared" si="451"/>
        <v>0</v>
      </c>
      <c r="T462" s="354"/>
      <c r="U462" s="190">
        <v>0</v>
      </c>
      <c r="V462" s="174"/>
      <c r="W462" s="140"/>
      <c r="X462" s="140" t="s">
        <v>390</v>
      </c>
      <c r="Y462" s="140" t="str">
        <f>'MKI-waarden'!$A$88</f>
        <v>Natlaksysteem voor staalconstructies</v>
      </c>
    </row>
    <row r="463" spans="1:25" ht="14.25" customHeight="1" x14ac:dyDescent="0.2">
      <c r="A463" s="196">
        <f t="shared" si="391"/>
        <v>15</v>
      </c>
      <c r="B463" s="197" t="s">
        <v>182</v>
      </c>
      <c r="C463" s="198">
        <f t="shared" si="413"/>
        <v>15</v>
      </c>
      <c r="D463" s="199">
        <f t="shared" si="452"/>
        <v>69</v>
      </c>
      <c r="E463" s="205" t="s">
        <v>325</v>
      </c>
      <c r="F463" s="200">
        <f t="shared" si="395"/>
        <v>69</v>
      </c>
      <c r="G463" s="201"/>
      <c r="H463" s="205" t="s">
        <v>264</v>
      </c>
      <c r="I463" s="321">
        <v>459</v>
      </c>
      <c r="J463" s="221" t="s">
        <v>49</v>
      </c>
      <c r="K463" s="324">
        <f t="shared" si="442"/>
        <v>-2.0864492785413646</v>
      </c>
      <c r="L463" s="325">
        <f t="shared" si="443"/>
        <v>-1</v>
      </c>
      <c r="M463" s="342">
        <f>'MKI-waarden'!D23</f>
        <v>23.379582978063713</v>
      </c>
      <c r="N463" s="342">
        <f t="shared" si="444"/>
        <v>0.46759165956127424</v>
      </c>
      <c r="O463" s="342">
        <f>IF(K463&lt;-1,(2*AVERAGE($N$455:$N$464)),N463)</f>
        <v>0.30299649685625479</v>
      </c>
      <c r="P463" s="203">
        <v>50</v>
      </c>
      <c r="Q463" s="203">
        <f>'Invoer en resultaat'!$H$9</f>
        <v>100</v>
      </c>
      <c r="R463" s="203">
        <f t="shared" si="446"/>
        <v>50</v>
      </c>
      <c r="S463" s="357">
        <f t="shared" si="451"/>
        <v>1</v>
      </c>
      <c r="T463" s="354">
        <f>'MKI-waarden'!N23</f>
        <v>5.9999999999999995E-5</v>
      </c>
      <c r="U463" s="190">
        <v>0</v>
      </c>
      <c r="V463" s="274"/>
      <c r="W463" s="140"/>
      <c r="X463" s="140" t="s">
        <v>390</v>
      </c>
      <c r="Y463" s="140" t="str">
        <f>'MKI-waarden'!A23</f>
        <v>Conservering, poedercoating (o.b.v. bekleding, aluminium vlakke plint)</v>
      </c>
    </row>
    <row r="464" spans="1:25" s="276" customFormat="1" ht="14.25" customHeight="1" x14ac:dyDescent="0.2">
      <c r="A464" s="196">
        <f t="shared" si="391"/>
        <v>15</v>
      </c>
      <c r="B464" s="275" t="s">
        <v>182</v>
      </c>
      <c r="C464" s="198">
        <f t="shared" si="413"/>
        <v>15</v>
      </c>
      <c r="D464" s="273">
        <f>F464</f>
        <v>69</v>
      </c>
      <c r="E464" s="276" t="s">
        <v>325</v>
      </c>
      <c r="F464" s="200">
        <f t="shared" si="395"/>
        <v>69</v>
      </c>
      <c r="G464" s="277"/>
      <c r="H464" s="276" t="s">
        <v>352</v>
      </c>
      <c r="I464" s="321">
        <v>460</v>
      </c>
      <c r="J464" s="278" t="s">
        <v>49</v>
      </c>
      <c r="K464" s="324">
        <f>1-(N464/AVERAGE($N$455:$N$464))</f>
        <v>-2.0775717842123638</v>
      </c>
      <c r="L464" s="325">
        <f>IF(K464&gt;-1,1-(O464/AVERAGE($O$455:$O$464)),1-(O464/AVERAGE($N$455:$N$464)))</f>
        <v>-1</v>
      </c>
      <c r="M464" s="349">
        <f>T464*'MKI-waarden'!D27</f>
        <v>34.968505103999995</v>
      </c>
      <c r="N464" s="349">
        <f t="shared" si="444"/>
        <v>0.46624673471999994</v>
      </c>
      <c r="O464" s="349">
        <f>IF(K464&lt;-1,(2*AVERAGE($N$455:$N$464)),N464)</f>
        <v>0.30299649685625479</v>
      </c>
      <c r="P464" s="279">
        <v>75</v>
      </c>
      <c r="Q464" s="203">
        <f>'Invoer en resultaat'!$H$9</f>
        <v>100</v>
      </c>
      <c r="R464" s="203">
        <f t="shared" si="446"/>
        <v>25</v>
      </c>
      <c r="S464" s="357">
        <f t="shared" si="451"/>
        <v>1</v>
      </c>
      <c r="T464" s="367">
        <f>3/100</f>
        <v>0.03</v>
      </c>
      <c r="U464" s="280"/>
      <c r="V464" s="280" t="s">
        <v>415</v>
      </c>
      <c r="Y464" s="280" t="str">
        <f>'MKI-waarden'!A27</f>
        <v>Constructies in kg of m3, wapeningstaal</v>
      </c>
    </row>
    <row r="465" spans="1:25" ht="48" customHeight="1" x14ac:dyDescent="0.2">
      <c r="A465" s="178"/>
      <c r="B465" s="178"/>
      <c r="C465" s="178"/>
      <c r="D465" s="335"/>
      <c r="E465" s="178"/>
      <c r="F465" s="200"/>
      <c r="G465" s="178"/>
      <c r="H465" s="185"/>
      <c r="I465" s="200"/>
      <c r="J465" s="188"/>
      <c r="K465" s="293"/>
      <c r="L465" s="337"/>
      <c r="M465" s="342"/>
      <c r="N465" s="342"/>
      <c r="O465" s="342"/>
      <c r="P465" s="195"/>
      <c r="Q465" s="195"/>
      <c r="R465" s="195"/>
      <c r="S465" s="353"/>
      <c r="T465" s="354"/>
      <c r="U465" s="190"/>
      <c r="V465" s="274"/>
      <c r="W465" s="334"/>
      <c r="X465" s="334"/>
      <c r="Y465" s="334"/>
    </row>
    <row r="466" spans="1:25" x14ac:dyDescent="0.2">
      <c r="A466" s="185"/>
      <c r="F466" s="200"/>
      <c r="I466" s="200"/>
    </row>
    <row r="467" spans="1:25" x14ac:dyDescent="0.2">
      <c r="A467" s="185"/>
      <c r="B467" s="241"/>
      <c r="F467" s="200"/>
      <c r="I467" s="200"/>
    </row>
    <row r="468" spans="1:25" x14ac:dyDescent="0.2">
      <c r="A468" s="185"/>
      <c r="F468" s="200"/>
      <c r="I468" s="200"/>
    </row>
    <row r="469" spans="1:25" x14ac:dyDescent="0.2">
      <c r="A469" s="185"/>
      <c r="B469" s="242"/>
      <c r="F469" s="200"/>
      <c r="I469" s="200"/>
    </row>
    <row r="470" spans="1:25" x14ac:dyDescent="0.2">
      <c r="A470" s="178"/>
      <c r="B470" s="242"/>
      <c r="F470" s="200"/>
      <c r="I470" s="200"/>
    </row>
    <row r="471" spans="1:25" x14ac:dyDescent="0.2">
      <c r="A471" s="178"/>
      <c r="B471" s="242"/>
      <c r="F471" s="200"/>
      <c r="I471" s="200"/>
    </row>
    <row r="472" spans="1:25" x14ac:dyDescent="0.2">
      <c r="A472" s="178"/>
      <c r="B472" s="242"/>
      <c r="F472" s="200"/>
      <c r="I472" s="200"/>
    </row>
    <row r="473" spans="1:25" x14ac:dyDescent="0.2">
      <c r="A473" s="185"/>
      <c r="B473" s="242"/>
      <c r="F473" s="200"/>
      <c r="I473" s="200"/>
    </row>
    <row r="474" spans="1:25" x14ac:dyDescent="0.2">
      <c r="A474" s="185"/>
      <c r="B474" s="185"/>
      <c r="F474" s="200"/>
      <c r="I474" s="200"/>
    </row>
    <row r="475" spans="1:25" x14ac:dyDescent="0.2">
      <c r="A475" s="241"/>
      <c r="B475" s="242"/>
      <c r="F475" s="200"/>
      <c r="I475" s="200"/>
    </row>
    <row r="476" spans="1:25" x14ac:dyDescent="0.2">
      <c r="B476" s="222"/>
    </row>
    <row r="477" spans="1:25" x14ac:dyDescent="0.2">
      <c r="B477" s="242"/>
    </row>
    <row r="478" spans="1:25" x14ac:dyDescent="0.2">
      <c r="B478" s="242"/>
    </row>
    <row r="479" spans="1:25" x14ac:dyDescent="0.2">
      <c r="B479" s="242"/>
    </row>
    <row r="480" spans="1:25" x14ac:dyDescent="0.2">
      <c r="B480" s="242"/>
    </row>
    <row r="481" spans="2:2" x14ac:dyDescent="0.2">
      <c r="B481"/>
    </row>
    <row r="482" spans="2:2" x14ac:dyDescent="0.2">
      <c r="B482"/>
    </row>
    <row r="483" spans="2:2" x14ac:dyDescent="0.2">
      <c r="B483"/>
    </row>
    <row r="484" spans="2:2" x14ac:dyDescent="0.2">
      <c r="B484"/>
    </row>
    <row r="485" spans="2:2" x14ac:dyDescent="0.2">
      <c r="B485"/>
    </row>
    <row r="486" spans="2:2" x14ac:dyDescent="0.2">
      <c r="B486"/>
    </row>
    <row r="487" spans="2:2" x14ac:dyDescent="0.2">
      <c r="B487"/>
    </row>
    <row r="488" spans="2:2" x14ac:dyDescent="0.2">
      <c r="B488"/>
    </row>
    <row r="489" spans="2:2" x14ac:dyDescent="0.2">
      <c r="B489"/>
    </row>
    <row r="490" spans="2:2" x14ac:dyDescent="0.2">
      <c r="B490"/>
    </row>
    <row r="491" spans="2:2" x14ac:dyDescent="0.2">
      <c r="B491"/>
    </row>
    <row r="492" spans="2:2" x14ac:dyDescent="0.2">
      <c r="B492"/>
    </row>
    <row r="493" spans="2:2" x14ac:dyDescent="0.2">
      <c r="B493"/>
    </row>
    <row r="494" spans="2:2" x14ac:dyDescent="0.2">
      <c r="B494"/>
    </row>
    <row r="495" spans="2:2" x14ac:dyDescent="0.2">
      <c r="B495"/>
    </row>
    <row r="496" spans="2:2" x14ac:dyDescent="0.2">
      <c r="B496"/>
    </row>
    <row r="497" spans="2:2" x14ac:dyDescent="0.2">
      <c r="B497"/>
    </row>
  </sheetData>
  <autoFilter ref="A3:Y464" xr:uid="{00000000-0009-0000-0000-000007000000}"/>
  <conditionalFormatting sqref="K43:K44 K106:K107 K221:K230 K455:K457 K459:K464 K35:K41 K46 K48:K53 K61:K71 K111:K113 K194:K200 K206:K213 K202:K204 K280:K286 K288:K292 K311:K316 K299:K309 K416:K425 K434:K438 K440:K443 K448:K451 K270:K278 K268 K180 K22:K27 K5:K20 K362:K368 K349:K353 K323:K327 K190:K192 K182:K188 K133:K135 K123:K131 K215:K218">
    <cfRule type="cellIs" dxfId="957" priority="3167" operator="lessThan">
      <formula>-1</formula>
    </cfRule>
    <cfRule type="cellIs" dxfId="956" priority="3168" operator="between">
      <formula>-0.2</formula>
      <formula>-1</formula>
    </cfRule>
    <cfRule type="cellIs" dxfId="955" priority="3169" operator="between">
      <formula>-0.2</formula>
      <formula>0.2</formula>
    </cfRule>
    <cfRule type="cellIs" dxfId="954" priority="3170" operator="greaterThan">
      <formula>0.2</formula>
    </cfRule>
  </conditionalFormatting>
  <conditionalFormatting sqref="K29:K32">
    <cfRule type="cellIs" dxfId="953" priority="3146" operator="lessThan">
      <formula>-1</formula>
    </cfRule>
    <cfRule type="cellIs" dxfId="952" priority="3147" operator="between">
      <formula>-0.2</formula>
      <formula>-1</formula>
    </cfRule>
    <cfRule type="cellIs" dxfId="951" priority="3148" operator="between">
      <formula>-0.2</formula>
      <formula>0.2</formula>
    </cfRule>
    <cfRule type="cellIs" dxfId="950" priority="3149" operator="greaterThan">
      <formula>0.2</formula>
    </cfRule>
  </conditionalFormatting>
  <conditionalFormatting sqref="K337:K348">
    <cfRule type="cellIs" dxfId="949" priority="2958" operator="lessThan">
      <formula>-1</formula>
    </cfRule>
    <cfRule type="cellIs" dxfId="948" priority="2959" operator="between">
      <formula>-0.2</formula>
      <formula>-1</formula>
    </cfRule>
    <cfRule type="cellIs" dxfId="947" priority="2960" operator="between">
      <formula>-0.2</formula>
      <formula>0.2</formula>
    </cfRule>
    <cfRule type="cellIs" dxfId="946" priority="2961" operator="greaterThan">
      <formula>0.2</formula>
    </cfRule>
  </conditionalFormatting>
  <conditionalFormatting sqref="K355">
    <cfRule type="cellIs" dxfId="945" priority="2950" operator="lessThan">
      <formula>-1</formula>
    </cfRule>
    <cfRule type="cellIs" dxfId="944" priority="2951" operator="between">
      <formula>-0.2</formula>
      <formula>-1</formula>
    </cfRule>
    <cfRule type="cellIs" dxfId="943" priority="2952" operator="between">
      <formula>-0.2</formula>
      <formula>0.2</formula>
    </cfRule>
    <cfRule type="cellIs" dxfId="942" priority="2953" operator="greaterThan">
      <formula>0.2</formula>
    </cfRule>
  </conditionalFormatting>
  <conditionalFormatting sqref="K356">
    <cfRule type="cellIs" dxfId="941" priority="2946" operator="lessThan">
      <formula>-1</formula>
    </cfRule>
    <cfRule type="cellIs" dxfId="940" priority="2947" operator="between">
      <formula>-0.2</formula>
      <formula>-1</formula>
    </cfRule>
    <cfRule type="cellIs" dxfId="939" priority="2948" operator="between">
      <formula>-0.2</formula>
      <formula>0.2</formula>
    </cfRule>
    <cfRule type="cellIs" dxfId="938" priority="2949" operator="greaterThan">
      <formula>0.2</formula>
    </cfRule>
  </conditionalFormatting>
  <conditionalFormatting sqref="K361">
    <cfRule type="cellIs" dxfId="937" priority="2938" operator="lessThan">
      <formula>-1</formula>
    </cfRule>
    <cfRule type="cellIs" dxfId="936" priority="2939" operator="between">
      <formula>-0.2</formula>
      <formula>-1</formula>
    </cfRule>
    <cfRule type="cellIs" dxfId="935" priority="2940" operator="between">
      <formula>-0.2</formula>
      <formula>0.2</formula>
    </cfRule>
    <cfRule type="cellIs" dxfId="934" priority="2941" operator="greaterThan">
      <formula>0.2</formula>
    </cfRule>
  </conditionalFormatting>
  <conditionalFormatting sqref="K378">
    <cfRule type="cellIs" dxfId="933" priority="2906" operator="lessThan">
      <formula>-1</formula>
    </cfRule>
    <cfRule type="cellIs" dxfId="932" priority="2907" operator="between">
      <formula>-0.2</formula>
      <formula>-1</formula>
    </cfRule>
    <cfRule type="cellIs" dxfId="931" priority="2908" operator="between">
      <formula>-0.2</formula>
      <formula>0.2</formula>
    </cfRule>
    <cfRule type="cellIs" dxfId="930" priority="2909" operator="greaterThan">
      <formula>0.2</formula>
    </cfRule>
  </conditionalFormatting>
  <conditionalFormatting sqref="K379">
    <cfRule type="cellIs" dxfId="929" priority="2902" operator="lessThan">
      <formula>-1</formula>
    </cfRule>
    <cfRule type="cellIs" dxfId="928" priority="2903" operator="between">
      <formula>-0.2</formula>
      <formula>-1</formula>
    </cfRule>
    <cfRule type="cellIs" dxfId="927" priority="2904" operator="between">
      <formula>-0.2</formula>
      <formula>0.2</formula>
    </cfRule>
    <cfRule type="cellIs" dxfId="926" priority="2905" operator="greaterThan">
      <formula>0.2</formula>
    </cfRule>
  </conditionalFormatting>
  <conditionalFormatting sqref="K380">
    <cfRule type="cellIs" dxfId="925" priority="2898" operator="lessThan">
      <formula>-1</formula>
    </cfRule>
    <cfRule type="cellIs" dxfId="924" priority="2899" operator="between">
      <formula>-0.2</formula>
      <formula>-1</formula>
    </cfRule>
    <cfRule type="cellIs" dxfId="923" priority="2900" operator="between">
      <formula>-0.2</formula>
      <formula>0.2</formula>
    </cfRule>
    <cfRule type="cellIs" dxfId="922" priority="2901" operator="greaterThan">
      <formula>0.2</formula>
    </cfRule>
  </conditionalFormatting>
  <conditionalFormatting sqref="K409:K415">
    <cfRule type="cellIs" dxfId="921" priority="2874" operator="lessThan">
      <formula>-1</formula>
    </cfRule>
    <cfRule type="cellIs" dxfId="920" priority="2875" operator="between">
      <formula>-0.2</formula>
      <formula>-1</formula>
    </cfRule>
    <cfRule type="cellIs" dxfId="919" priority="2876" operator="between">
      <formula>-0.2</formula>
      <formula>0.2</formula>
    </cfRule>
    <cfRule type="cellIs" dxfId="918" priority="2877" operator="greaterThan">
      <formula>0.2</formula>
    </cfRule>
  </conditionalFormatting>
  <conditionalFormatting sqref="K427:K433">
    <cfRule type="cellIs" dxfId="917" priority="2866" operator="lessThan">
      <formula>-1</formula>
    </cfRule>
    <cfRule type="cellIs" dxfId="916" priority="2867" operator="between">
      <formula>-0.2</formula>
      <formula>-1</formula>
    </cfRule>
    <cfRule type="cellIs" dxfId="915" priority="2868" operator="between">
      <formula>-0.2</formula>
      <formula>0.2</formula>
    </cfRule>
    <cfRule type="cellIs" dxfId="914" priority="2869" operator="greaterThan">
      <formula>0.2</formula>
    </cfRule>
  </conditionalFormatting>
  <conditionalFormatting sqref="K79:K88">
    <cfRule type="cellIs" dxfId="913" priority="2814" operator="lessThan">
      <formula>-1</formula>
    </cfRule>
    <cfRule type="cellIs" dxfId="912" priority="2815" operator="between">
      <formula>-0.2</formula>
      <formula>-1</formula>
    </cfRule>
    <cfRule type="cellIs" dxfId="911" priority="2816" operator="between">
      <formula>-0.2</formula>
      <formula>0.2</formula>
    </cfRule>
    <cfRule type="cellIs" dxfId="910" priority="2817" operator="greaterThan">
      <formula>0.2</formula>
    </cfRule>
  </conditionalFormatting>
  <conditionalFormatting sqref="K97:K105">
    <cfRule type="cellIs" dxfId="909" priority="2806" operator="lessThan">
      <formula>-1</formula>
    </cfRule>
    <cfRule type="cellIs" dxfId="908" priority="2807" operator="between">
      <formula>-0.2</formula>
      <formula>-1</formula>
    </cfRule>
    <cfRule type="cellIs" dxfId="907" priority="2808" operator="between">
      <formula>-0.2</formula>
      <formula>0.2</formula>
    </cfRule>
    <cfRule type="cellIs" dxfId="906" priority="2809" operator="greaterThan">
      <formula>0.2</formula>
    </cfRule>
  </conditionalFormatting>
  <conditionalFormatting sqref="K55 K57 K59:K60">
    <cfRule type="cellIs" dxfId="905" priority="2802" operator="lessThan">
      <formula>-1</formula>
    </cfRule>
    <cfRule type="cellIs" dxfId="904" priority="2803" operator="between">
      <formula>-0.2</formula>
      <formula>-1</formula>
    </cfRule>
    <cfRule type="cellIs" dxfId="903" priority="2804" operator="between">
      <formula>-0.2</formula>
      <formula>0.2</formula>
    </cfRule>
    <cfRule type="cellIs" dxfId="902" priority="2805" operator="greaterThan">
      <formula>0.2</formula>
    </cfRule>
  </conditionalFormatting>
  <conditionalFormatting sqref="K56">
    <cfRule type="cellIs" dxfId="901" priority="2629" operator="lessThan">
      <formula>-1</formula>
    </cfRule>
    <cfRule type="cellIs" dxfId="900" priority="2630" operator="between">
      <formula>-0.2</formula>
      <formula>-1</formula>
    </cfRule>
    <cfRule type="cellIs" dxfId="899" priority="2631" operator="between">
      <formula>-0.2</formula>
      <formula>0.2</formula>
    </cfRule>
    <cfRule type="cellIs" dxfId="898" priority="2632" operator="greaterThan">
      <formula>0.2</formula>
    </cfRule>
  </conditionalFormatting>
  <conditionalFormatting sqref="U50 U116:U120 U312:U316 U441 U79:U88 U288:X288 V5:V8 V19:V20 W22:W25 W29:W32 V32 X36:X38 W44 W61 V62:V63 U276:V278 U270:X270 V401:V408 V97 V101:V105 W106:W107 V115:V120 V133:V136 V140:V145 V176:V178 X183 W225:W226 V228:V234 V239:V240 V256:W257 W253 V254:V255 U274:X275 U271:U273 U289:U290 V311:V316 V337:V348 X375:X376 V377 W378:W379 V380 V384 X383 V462 X455:X460 V451 V430:V434 U455:U463 U280:V281 V279 U215:U218 V319:V322 V123:V126 U221:U230 V138 X49:X51 U97:U107 X98:X100 X409:X414 U234:U240 W271:X273 X9:X14 W289:X290 X435:X436 X427:X429 U465:U1048576 V35 W79:X88 U251:W252 U431:U433 V268:W268 W15:W20 U43:U44 U35:U41 V39:X41 V43:X43 W211:X214 U46 U48:V48 V45:X46 V55:V60 U52:V53 W48:W53 U61:U70 V73:V78 U71:V71 W64:X71 U111:U113 W111:W113 V198:X200 U194:U200 U206:V214 U202:U204 W202:W204 U284:V286 X284:X286 W283:W286 U291:X292 U307:U309 W307:W309 W409:W425 U427:U429 U409:U425 X416:X425 V440:V441 V437:X438 U435:U438 U442:V443 W440:X443 U445:U451 W445:X451 X395:X399 U375:U399 X264:X268 U253:U268 V182 V180 X176:X180 U166:U180 U29:U32 V26:X27 U22:U27 U1:U20 U362:U368 V364:X368 U355:V356 U338:U353 W349:X353 W323:X327 U319:U327 V190:V195 V184:X188 U190:U192 U182:U188 W127:X131 U133:U139 U123:U131">
    <cfRule type="cellIs" dxfId="897" priority="2757" operator="equal">
      <formula>0</formula>
    </cfRule>
  </conditionalFormatting>
  <conditionalFormatting sqref="U304:U306">
    <cfRule type="cellIs" dxfId="896" priority="2712" operator="equal">
      <formula>0</formula>
    </cfRule>
  </conditionalFormatting>
  <conditionalFormatting sqref="K333">
    <cfRule type="cellIs" dxfId="895" priority="2683" operator="lessThan">
      <formula>-1</formula>
    </cfRule>
    <cfRule type="cellIs" dxfId="894" priority="2684" operator="between">
      <formula>-0.2</formula>
      <formula>-1</formula>
    </cfRule>
    <cfRule type="cellIs" dxfId="893" priority="2685" operator="between">
      <formula>-0.2</formula>
      <formula>0.2</formula>
    </cfRule>
    <cfRule type="cellIs" dxfId="892" priority="2686" operator="greaterThan">
      <formula>0.2</formula>
    </cfRule>
  </conditionalFormatting>
  <conditionalFormatting sqref="K374">
    <cfRule type="cellIs" dxfId="891" priority="2674" operator="lessThan">
      <formula>-1</formula>
    </cfRule>
    <cfRule type="cellIs" dxfId="890" priority="2675" operator="between">
      <formula>-0.2</formula>
      <formula>-1</formula>
    </cfRule>
    <cfRule type="cellIs" dxfId="889" priority="2676" operator="between">
      <formula>-0.2</formula>
      <formula>0.2</formula>
    </cfRule>
    <cfRule type="cellIs" dxfId="888" priority="2677" operator="greaterThan">
      <formula>0.2</formula>
    </cfRule>
  </conditionalFormatting>
  <conditionalFormatting sqref="K45:K46">
    <cfRule type="cellIs" dxfId="887" priority="2634" operator="lessThan">
      <formula>-1</formula>
    </cfRule>
    <cfRule type="cellIs" dxfId="886" priority="2635" operator="between">
      <formula>-0.2</formula>
      <formula>-1</formula>
    </cfRule>
    <cfRule type="cellIs" dxfId="885" priority="2636" operator="between">
      <formula>-0.2</formula>
      <formula>0.2</formula>
    </cfRule>
    <cfRule type="cellIs" dxfId="884" priority="2637" operator="greaterThan">
      <formula>0.2</formula>
    </cfRule>
  </conditionalFormatting>
  <conditionalFormatting sqref="U45:U46">
    <cfRule type="cellIs" dxfId="883" priority="2633" operator="equal">
      <formula>0</formula>
    </cfRule>
  </conditionalFormatting>
  <conditionalFormatting sqref="K32">
    <cfRule type="cellIs" dxfId="882" priority="2619" operator="lessThan">
      <formula>-1</formula>
    </cfRule>
    <cfRule type="cellIs" dxfId="881" priority="2620" operator="between">
      <formula>-0.2</formula>
      <formula>-1</formula>
    </cfRule>
    <cfRule type="cellIs" dxfId="880" priority="2621" operator="between">
      <formula>-0.2</formula>
      <formula>0.2</formula>
    </cfRule>
    <cfRule type="cellIs" dxfId="879" priority="2622" operator="greaterThan">
      <formula>0.2</formula>
    </cfRule>
  </conditionalFormatting>
  <conditionalFormatting sqref="U32">
    <cfRule type="cellIs" dxfId="878" priority="2618" operator="equal">
      <formula>0</formula>
    </cfRule>
  </conditionalFormatting>
  <conditionalFormatting sqref="U337">
    <cfRule type="cellIs" dxfId="877" priority="2604" operator="equal">
      <formula>0</formula>
    </cfRule>
  </conditionalFormatting>
  <conditionalFormatting sqref="U311">
    <cfRule type="cellIs" dxfId="876" priority="2594" operator="equal">
      <formula>0</formula>
    </cfRule>
  </conditionalFormatting>
  <conditionalFormatting sqref="U434">
    <cfRule type="cellIs" dxfId="875" priority="2572" operator="equal">
      <formula>0</formula>
    </cfRule>
  </conditionalFormatting>
  <conditionalFormatting sqref="U115">
    <cfRule type="cellIs" dxfId="874" priority="2599" operator="equal">
      <formula>0</formula>
    </cfRule>
  </conditionalFormatting>
  <conditionalFormatting sqref="U440">
    <cfRule type="cellIs" dxfId="873" priority="2573" operator="equal">
      <formula>0</formula>
    </cfRule>
  </conditionalFormatting>
  <conditionalFormatting sqref="U55:U60">
    <cfRule type="cellIs" dxfId="872" priority="2570" operator="equal">
      <formula>0</formula>
    </cfRule>
  </conditionalFormatting>
  <conditionalFormatting sqref="K329 K332">
    <cfRule type="cellIs" dxfId="871" priority="2560" operator="lessThan">
      <formula>-1</formula>
    </cfRule>
    <cfRule type="cellIs" dxfId="870" priority="2561" operator="between">
      <formula>-0.2</formula>
      <formula>-1</formula>
    </cfRule>
    <cfRule type="cellIs" dxfId="869" priority="2562" operator="between">
      <formula>-0.2</formula>
      <formula>0.2</formula>
    </cfRule>
    <cfRule type="cellIs" dxfId="868" priority="2563" operator="greaterThan">
      <formula>0.2</formula>
    </cfRule>
  </conditionalFormatting>
  <conditionalFormatting sqref="K357 K360">
    <cfRule type="cellIs" dxfId="867" priority="2556" operator="lessThan">
      <formula>-1</formula>
    </cfRule>
    <cfRule type="cellIs" dxfId="866" priority="2557" operator="between">
      <formula>-0.2</formula>
      <formula>-1</formula>
    </cfRule>
    <cfRule type="cellIs" dxfId="865" priority="2558" operator="between">
      <formula>-0.2</formula>
      <formula>0.2</formula>
    </cfRule>
    <cfRule type="cellIs" dxfId="864" priority="2559" operator="greaterThan">
      <formula>0.2</formula>
    </cfRule>
  </conditionalFormatting>
  <conditionalFormatting sqref="K370 K373">
    <cfRule type="cellIs" dxfId="863" priority="2552" operator="lessThan">
      <formula>-1</formula>
    </cfRule>
    <cfRule type="cellIs" dxfId="862" priority="2553" operator="between">
      <formula>-0.2</formula>
      <formula>-1</formula>
    </cfRule>
    <cfRule type="cellIs" dxfId="861" priority="2554" operator="between">
      <formula>-0.2</formula>
      <formula>0.2</formula>
    </cfRule>
    <cfRule type="cellIs" dxfId="860" priority="2555" operator="greaterThan">
      <formula>0.2</formula>
    </cfRule>
  </conditionalFormatting>
  <conditionalFormatting sqref="U196:U200">
    <cfRule type="cellIs" dxfId="859" priority="2530" operator="equal">
      <formula>0</formula>
    </cfRule>
  </conditionalFormatting>
  <conditionalFormatting sqref="U200">
    <cfRule type="cellIs" dxfId="858" priority="2518" operator="equal">
      <formula>0</formula>
    </cfRule>
  </conditionalFormatting>
  <conditionalFormatting sqref="K383">
    <cfRule type="cellIs" dxfId="857" priority="2514" operator="lessThan">
      <formula>-1</formula>
    </cfRule>
    <cfRule type="cellIs" dxfId="856" priority="2515" operator="between">
      <formula>-0.2</formula>
      <formula>-1</formula>
    </cfRule>
    <cfRule type="cellIs" dxfId="855" priority="2516" operator="between">
      <formula>-0.2</formula>
      <formula>0.2</formula>
    </cfRule>
    <cfRule type="cellIs" dxfId="854" priority="2517" operator="greaterThan">
      <formula>0.2</formula>
    </cfRule>
  </conditionalFormatting>
  <conditionalFormatting sqref="K384">
    <cfRule type="cellIs" dxfId="853" priority="2510" operator="lessThan">
      <formula>-1</formula>
    </cfRule>
    <cfRule type="cellIs" dxfId="852" priority="2511" operator="between">
      <formula>-0.2</formula>
      <formula>-1</formula>
    </cfRule>
    <cfRule type="cellIs" dxfId="851" priority="2512" operator="between">
      <formula>-0.2</formula>
      <formula>0.2</formula>
    </cfRule>
    <cfRule type="cellIs" dxfId="850" priority="2513" operator="greaterThan">
      <formula>0.2</formula>
    </cfRule>
  </conditionalFormatting>
  <conditionalFormatting sqref="K73">
    <cfRule type="cellIs" dxfId="849" priority="2486" operator="lessThan">
      <formula>-1</formula>
    </cfRule>
    <cfRule type="cellIs" dxfId="848" priority="2487" operator="between">
      <formula>-0.2</formula>
      <formula>-1</formula>
    </cfRule>
    <cfRule type="cellIs" dxfId="847" priority="2488" operator="between">
      <formula>-0.2</formula>
      <formula>0.2</formula>
    </cfRule>
    <cfRule type="cellIs" dxfId="846" priority="2489" operator="greaterThan">
      <formula>0.2</formula>
    </cfRule>
  </conditionalFormatting>
  <conditionalFormatting sqref="U73">
    <cfRule type="cellIs" dxfId="845" priority="2485" operator="equal">
      <formula>0</formula>
    </cfRule>
  </conditionalFormatting>
  <conditionalFormatting sqref="K74">
    <cfRule type="cellIs" dxfId="844" priority="2481" operator="lessThan">
      <formula>-1</formula>
    </cfRule>
    <cfRule type="cellIs" dxfId="843" priority="2482" operator="between">
      <formula>-0.2</formula>
      <formula>-1</formula>
    </cfRule>
    <cfRule type="cellIs" dxfId="842" priority="2483" operator="between">
      <formula>-0.2</formula>
      <formula>0.2</formula>
    </cfRule>
    <cfRule type="cellIs" dxfId="841" priority="2484" operator="greaterThan">
      <formula>0.2</formula>
    </cfRule>
  </conditionalFormatting>
  <conditionalFormatting sqref="U74">
    <cfRule type="cellIs" dxfId="840" priority="2480" operator="equal">
      <formula>0</formula>
    </cfRule>
  </conditionalFormatting>
  <conditionalFormatting sqref="K75">
    <cfRule type="cellIs" dxfId="839" priority="2476" operator="lessThan">
      <formula>-1</formula>
    </cfRule>
    <cfRule type="cellIs" dxfId="838" priority="2477" operator="between">
      <formula>-0.2</formula>
      <formula>-1</formula>
    </cfRule>
    <cfRule type="cellIs" dxfId="837" priority="2478" operator="between">
      <formula>-0.2</formula>
      <formula>0.2</formula>
    </cfRule>
    <cfRule type="cellIs" dxfId="836" priority="2479" operator="greaterThan">
      <formula>0.2</formula>
    </cfRule>
  </conditionalFormatting>
  <conditionalFormatting sqref="U75">
    <cfRule type="cellIs" dxfId="835" priority="2475" operator="equal">
      <formula>0</formula>
    </cfRule>
  </conditionalFormatting>
  <conditionalFormatting sqref="K77">
    <cfRule type="cellIs" dxfId="834" priority="2471" operator="lessThan">
      <formula>-1</formula>
    </cfRule>
    <cfRule type="cellIs" dxfId="833" priority="2472" operator="between">
      <formula>-0.2</formula>
      <formula>-1</formula>
    </cfRule>
    <cfRule type="cellIs" dxfId="832" priority="2473" operator="between">
      <formula>-0.2</formula>
      <formula>0.2</formula>
    </cfRule>
    <cfRule type="cellIs" dxfId="831" priority="2474" operator="greaterThan">
      <formula>0.2</formula>
    </cfRule>
  </conditionalFormatting>
  <conditionalFormatting sqref="U77">
    <cfRule type="cellIs" dxfId="830" priority="2470" operator="equal">
      <formula>0</formula>
    </cfRule>
  </conditionalFormatting>
  <conditionalFormatting sqref="K78">
    <cfRule type="cellIs" dxfId="829" priority="2466" operator="lessThan">
      <formula>-1</formula>
    </cfRule>
    <cfRule type="cellIs" dxfId="828" priority="2467" operator="between">
      <formula>-0.2</formula>
      <formula>-1</formula>
    </cfRule>
    <cfRule type="cellIs" dxfId="827" priority="2468" operator="between">
      <formula>-0.2</formula>
      <formula>0.2</formula>
    </cfRule>
    <cfRule type="cellIs" dxfId="826" priority="2469" operator="greaterThan">
      <formula>0.2</formula>
    </cfRule>
  </conditionalFormatting>
  <conditionalFormatting sqref="U78">
    <cfRule type="cellIs" dxfId="825" priority="2465" operator="equal">
      <formula>0</formula>
    </cfRule>
  </conditionalFormatting>
  <conditionalFormatting sqref="U140">
    <cfRule type="cellIs" dxfId="824" priority="2460" operator="equal">
      <formula>0</formula>
    </cfRule>
  </conditionalFormatting>
  <conditionalFormatting sqref="U141">
    <cfRule type="cellIs" dxfId="823" priority="2455" operator="equal">
      <formula>0</formula>
    </cfRule>
  </conditionalFormatting>
  <conditionalFormatting sqref="U142">
    <cfRule type="cellIs" dxfId="822" priority="2450" operator="equal">
      <formula>0</formula>
    </cfRule>
  </conditionalFormatting>
  <conditionalFormatting sqref="U144">
    <cfRule type="cellIs" dxfId="821" priority="2445" operator="equal">
      <formula>0</formula>
    </cfRule>
  </conditionalFormatting>
  <conditionalFormatting sqref="U145">
    <cfRule type="cellIs" dxfId="820" priority="2440" operator="equal">
      <formula>0</formula>
    </cfRule>
  </conditionalFormatting>
  <conditionalFormatting sqref="U190">
    <cfRule type="cellIs" dxfId="819" priority="2435" operator="equal">
      <formula>0</formula>
    </cfRule>
  </conditionalFormatting>
  <conditionalFormatting sqref="U191">
    <cfRule type="cellIs" dxfId="818" priority="2430" operator="equal">
      <formula>0</formula>
    </cfRule>
  </conditionalFormatting>
  <conditionalFormatting sqref="U192">
    <cfRule type="cellIs" dxfId="817" priority="2425" operator="equal">
      <formula>0</formula>
    </cfRule>
  </conditionalFormatting>
  <conditionalFormatting sqref="U194">
    <cfRule type="cellIs" dxfId="816" priority="2420" operator="equal">
      <formula>0</formula>
    </cfRule>
  </conditionalFormatting>
  <conditionalFormatting sqref="U195">
    <cfRule type="cellIs" dxfId="815" priority="2415" operator="equal">
      <formula>0</formula>
    </cfRule>
  </conditionalFormatting>
  <conditionalFormatting sqref="U228">
    <cfRule type="cellIs" dxfId="814" priority="2385" operator="equal">
      <formula>0</formula>
    </cfRule>
  </conditionalFormatting>
  <conditionalFormatting sqref="U229">
    <cfRule type="cellIs" dxfId="813" priority="2380" operator="equal">
      <formula>0</formula>
    </cfRule>
  </conditionalFormatting>
  <conditionalFormatting sqref="U230">
    <cfRule type="cellIs" dxfId="812" priority="2375" operator="equal">
      <formula>0</formula>
    </cfRule>
  </conditionalFormatting>
  <conditionalFormatting sqref="U232">
    <cfRule type="cellIs" dxfId="811" priority="2370" operator="equal">
      <formula>0</formula>
    </cfRule>
  </conditionalFormatting>
  <conditionalFormatting sqref="U233">
    <cfRule type="cellIs" dxfId="810" priority="2365" operator="equal">
      <formula>0</formula>
    </cfRule>
  </conditionalFormatting>
  <conditionalFormatting sqref="U276">
    <cfRule type="cellIs" dxfId="809" priority="2360" operator="equal">
      <formula>0</formula>
    </cfRule>
  </conditionalFormatting>
  <conditionalFormatting sqref="U277">
    <cfRule type="cellIs" dxfId="808" priority="2355" operator="equal">
      <formula>0</formula>
    </cfRule>
  </conditionalFormatting>
  <conditionalFormatting sqref="U278">
    <cfRule type="cellIs" dxfId="807" priority="2350" operator="equal">
      <formula>0</formula>
    </cfRule>
  </conditionalFormatting>
  <conditionalFormatting sqref="U280">
    <cfRule type="cellIs" dxfId="806" priority="2345" operator="equal">
      <formula>0</formula>
    </cfRule>
  </conditionalFormatting>
  <conditionalFormatting sqref="U281">
    <cfRule type="cellIs" dxfId="805" priority="2340" operator="equal">
      <formula>0</formula>
    </cfRule>
  </conditionalFormatting>
  <conditionalFormatting sqref="K403">
    <cfRule type="cellIs" dxfId="804" priority="2311" operator="lessThan">
      <formula>-1</formula>
    </cfRule>
    <cfRule type="cellIs" dxfId="803" priority="2312" operator="between">
      <formula>-0.2</formula>
      <formula>-1</formula>
    </cfRule>
    <cfRule type="cellIs" dxfId="802" priority="2313" operator="between">
      <formula>-0.2</formula>
      <formula>0.2</formula>
    </cfRule>
    <cfRule type="cellIs" dxfId="801" priority="2314" operator="greaterThan">
      <formula>0.2</formula>
    </cfRule>
  </conditionalFormatting>
  <conditionalFormatting sqref="U403">
    <cfRule type="cellIs" dxfId="800" priority="2310" operator="equal">
      <formula>0</formula>
    </cfRule>
  </conditionalFormatting>
  <conditionalFormatting sqref="K404">
    <cfRule type="cellIs" dxfId="799" priority="2306" operator="lessThan">
      <formula>-1</formula>
    </cfRule>
    <cfRule type="cellIs" dxfId="798" priority="2307" operator="between">
      <formula>-0.2</formula>
      <formula>-1</formula>
    </cfRule>
    <cfRule type="cellIs" dxfId="797" priority="2308" operator="between">
      <formula>-0.2</formula>
      <formula>0.2</formula>
    </cfRule>
    <cfRule type="cellIs" dxfId="796" priority="2309" operator="greaterThan">
      <formula>0.2</formula>
    </cfRule>
  </conditionalFormatting>
  <conditionalFormatting sqref="U404">
    <cfRule type="cellIs" dxfId="795" priority="2305" operator="equal">
      <formula>0</formula>
    </cfRule>
  </conditionalFormatting>
  <conditionalFormatting sqref="K405">
    <cfRule type="cellIs" dxfId="794" priority="2301" operator="lessThan">
      <formula>-1</formula>
    </cfRule>
    <cfRule type="cellIs" dxfId="793" priority="2302" operator="between">
      <formula>-0.2</formula>
      <formula>-1</formula>
    </cfRule>
    <cfRule type="cellIs" dxfId="792" priority="2303" operator="between">
      <formula>-0.2</formula>
      <formula>0.2</formula>
    </cfRule>
    <cfRule type="cellIs" dxfId="791" priority="2304" operator="greaterThan">
      <formula>0.2</formula>
    </cfRule>
  </conditionalFormatting>
  <conditionalFormatting sqref="U405">
    <cfRule type="cellIs" dxfId="790" priority="2300" operator="equal">
      <formula>0</formula>
    </cfRule>
  </conditionalFormatting>
  <conditionalFormatting sqref="K407">
    <cfRule type="cellIs" dxfId="789" priority="2296" operator="lessThan">
      <formula>-1</formula>
    </cfRule>
    <cfRule type="cellIs" dxfId="788" priority="2297" operator="between">
      <formula>-0.2</formula>
      <formula>-1</formula>
    </cfRule>
    <cfRule type="cellIs" dxfId="787" priority="2298" operator="between">
      <formula>-0.2</formula>
      <formula>0.2</formula>
    </cfRule>
    <cfRule type="cellIs" dxfId="786" priority="2299" operator="greaterThan">
      <formula>0.2</formula>
    </cfRule>
  </conditionalFormatting>
  <conditionalFormatting sqref="U407">
    <cfRule type="cellIs" dxfId="785" priority="2295" operator="equal">
      <formula>0</formula>
    </cfRule>
  </conditionalFormatting>
  <conditionalFormatting sqref="U408">
    <cfRule type="cellIs" dxfId="784" priority="2290" operator="equal">
      <formula>0</formula>
    </cfRule>
  </conditionalFormatting>
  <conditionalFormatting sqref="K408">
    <cfRule type="cellIs" dxfId="783" priority="2266" operator="lessThan">
      <formula>-1</formula>
    </cfRule>
    <cfRule type="cellIs" dxfId="782" priority="2267" operator="between">
      <formula>-0.2</formula>
      <formula>-1</formula>
    </cfRule>
    <cfRule type="cellIs" dxfId="781" priority="2268" operator="between">
      <formula>-0.2</formula>
      <formula>0.2</formula>
    </cfRule>
    <cfRule type="cellIs" dxfId="780" priority="2269" operator="greaterThan">
      <formula>0.2</formula>
    </cfRule>
  </conditionalFormatting>
  <conditionalFormatting sqref="W304:W306">
    <cfRule type="cellIs" dxfId="779" priority="2265" operator="equal">
      <formula>0</formula>
    </cfRule>
  </conditionalFormatting>
  <conditionalFormatting sqref="V168">
    <cfRule type="cellIs" dxfId="778" priority="2262" operator="equal">
      <formula>0</formula>
    </cfRule>
  </conditionalFormatting>
  <conditionalFormatting sqref="V169">
    <cfRule type="cellIs" dxfId="777" priority="2261" operator="equal">
      <formula>0</formula>
    </cfRule>
  </conditionalFormatting>
  <conditionalFormatting sqref="V176">
    <cfRule type="cellIs" dxfId="776" priority="2255" operator="equal">
      <formula>0</formula>
    </cfRule>
  </conditionalFormatting>
  <conditionalFormatting sqref="V177">
    <cfRule type="cellIs" dxfId="775" priority="2254" operator="equal">
      <formula>0</formula>
    </cfRule>
  </conditionalFormatting>
  <conditionalFormatting sqref="V178">
    <cfRule type="cellIs" dxfId="774" priority="2253" operator="equal">
      <formula>0</formula>
    </cfRule>
  </conditionalFormatting>
  <conditionalFormatting sqref="V180">
    <cfRule type="cellIs" dxfId="773" priority="2251" operator="equal">
      <formula>0</formula>
    </cfRule>
  </conditionalFormatting>
  <conditionalFormatting sqref="V254">
    <cfRule type="cellIs" dxfId="772" priority="2246" operator="equal">
      <formula>0</formula>
    </cfRule>
  </conditionalFormatting>
  <conditionalFormatting sqref="V255">
    <cfRule type="cellIs" dxfId="771" priority="2245" operator="equal">
      <formula>0</formula>
    </cfRule>
  </conditionalFormatting>
  <conditionalFormatting sqref="V256">
    <cfRule type="cellIs" dxfId="770" priority="2244" operator="equal">
      <formula>0</formula>
    </cfRule>
  </conditionalFormatting>
  <conditionalFormatting sqref="V257">
    <cfRule type="cellIs" dxfId="769" priority="2243" operator="equal">
      <formula>0</formula>
    </cfRule>
  </conditionalFormatting>
  <conditionalFormatting sqref="V268">
    <cfRule type="cellIs" dxfId="768" priority="2234" operator="equal">
      <formula>0</formula>
    </cfRule>
  </conditionalFormatting>
  <conditionalFormatting sqref="V385">
    <cfRule type="cellIs" dxfId="767" priority="2229" operator="equal">
      <formula>0</formula>
    </cfRule>
  </conditionalFormatting>
  <conditionalFormatting sqref="K385:K393 K399 K395:K397">
    <cfRule type="cellIs" dxfId="766" priority="2230" operator="lessThan">
      <formula>-1</formula>
    </cfRule>
    <cfRule type="cellIs" dxfId="765" priority="2231" operator="between">
      <formula>-0.2</formula>
      <formula>-1</formula>
    </cfRule>
    <cfRule type="cellIs" dxfId="764" priority="2232" operator="between">
      <formula>-0.2</formula>
      <formula>0.2</formula>
    </cfRule>
    <cfRule type="cellIs" dxfId="763" priority="2233" operator="greaterThan">
      <formula>0.2</formula>
    </cfRule>
  </conditionalFormatting>
  <conditionalFormatting sqref="V386">
    <cfRule type="cellIs" dxfId="762" priority="2228" operator="equal">
      <formula>0</formula>
    </cfRule>
  </conditionalFormatting>
  <conditionalFormatting sqref="V387">
    <cfRule type="cellIs" dxfId="761" priority="2227" operator="equal">
      <formula>0</formula>
    </cfRule>
  </conditionalFormatting>
  <conditionalFormatting sqref="V388">
    <cfRule type="cellIs" dxfId="760" priority="2226" operator="equal">
      <formula>0</formula>
    </cfRule>
  </conditionalFormatting>
  <conditionalFormatting sqref="V396">
    <cfRule type="cellIs" dxfId="759" priority="2219" operator="equal">
      <formula>0</formula>
    </cfRule>
  </conditionalFormatting>
  <conditionalFormatting sqref="V395">
    <cfRule type="cellIs" dxfId="758" priority="2220" operator="equal">
      <formula>0</formula>
    </cfRule>
  </conditionalFormatting>
  <conditionalFormatting sqref="V397">
    <cfRule type="cellIs" dxfId="757" priority="2218" operator="equal">
      <formula>0</formula>
    </cfRule>
  </conditionalFormatting>
  <conditionalFormatting sqref="V399">
    <cfRule type="cellIs" dxfId="756" priority="2217" operator="equal">
      <formula>0</formula>
    </cfRule>
  </conditionalFormatting>
  <conditionalFormatting sqref="W4:X8 X106:X107 W168:W169 W311:X316 W116:X120 W19:X20 W9:W14 X15:X20 X22:X25 W32:X32 X29:X32 W36:W38 X44 W55:X55 W57:X58 W56 W62:X63 X61 W430:X430 W182:X182 X304:X306 W115 W183 X225:X227 W338:X348 W380:X382 X377:X379 W384:X384 W383 W434:X434 X431:X433 W401:X402 W463 W58:W60 W337 W319:X322 W123:X126 W97:W105 W234:W240 W427:W429 W435:W436 W35:X35 X138 W133:X137 W461:X462 W455:W460 W180 W355:X356">
    <cfRule type="cellIs" dxfId="755" priority="2150" operator="equal">
      <formula>0</formula>
    </cfRule>
  </conditionalFormatting>
  <conditionalFormatting sqref="U146:U149 U152:U155">
    <cfRule type="cellIs" dxfId="754" priority="2145" operator="equal">
      <formula>0</formula>
    </cfRule>
  </conditionalFormatting>
  <conditionalFormatting sqref="W86">
    <cfRule type="cellIs" dxfId="753" priority="2130" operator="equal">
      <formula>0</formula>
    </cfRule>
  </conditionalFormatting>
  <conditionalFormatting sqref="X86">
    <cfRule type="cellIs" dxfId="752" priority="2129" operator="equal">
      <formula>0</formula>
    </cfRule>
  </conditionalFormatting>
  <conditionalFormatting sqref="U215:U218 U221:U224">
    <cfRule type="cellIs" dxfId="751" priority="2138" operator="equal">
      <formula>0</formula>
    </cfRule>
  </conditionalFormatting>
  <conditionalFormatting sqref="W86">
    <cfRule type="cellIs" dxfId="750" priority="2128" operator="equal">
      <formula>0</formula>
    </cfRule>
  </conditionalFormatting>
  <conditionalFormatting sqref="X86">
    <cfRule type="cellIs" dxfId="749" priority="2127" operator="equal">
      <formula>0</formula>
    </cfRule>
  </conditionalFormatting>
  <conditionalFormatting sqref="U86">
    <cfRule type="cellIs" dxfId="748" priority="2131" operator="equal">
      <formula>0</formula>
    </cfRule>
  </conditionalFormatting>
  <conditionalFormatting sqref="K86">
    <cfRule type="cellIs" dxfId="747" priority="2119" operator="lessThan">
      <formula>-1</formula>
    </cfRule>
    <cfRule type="cellIs" dxfId="746" priority="2120" operator="between">
      <formula>-0.2</formula>
      <formula>-1</formula>
    </cfRule>
    <cfRule type="cellIs" dxfId="745" priority="2121" operator="between">
      <formula>-0.2</formula>
      <formula>0.2</formula>
    </cfRule>
    <cfRule type="cellIs" dxfId="744" priority="2122" operator="greaterThan">
      <formula>0.2</formula>
    </cfRule>
  </conditionalFormatting>
  <conditionalFormatting sqref="U156">
    <cfRule type="cellIs" dxfId="743" priority="2105" operator="equal">
      <formula>0</formula>
    </cfRule>
  </conditionalFormatting>
  <conditionalFormatting sqref="U157">
    <cfRule type="cellIs" dxfId="742" priority="2098" operator="equal">
      <formula>0</formula>
    </cfRule>
  </conditionalFormatting>
  <conditionalFormatting sqref="U158">
    <cfRule type="cellIs" dxfId="741" priority="2091" operator="equal">
      <formula>0</formula>
    </cfRule>
  </conditionalFormatting>
  <conditionalFormatting sqref="U159">
    <cfRule type="cellIs" dxfId="740" priority="2084" operator="equal">
      <formula>0</formula>
    </cfRule>
  </conditionalFormatting>
  <conditionalFormatting sqref="U161">
    <cfRule type="cellIs" dxfId="739" priority="2077" operator="equal">
      <formula>0</formula>
    </cfRule>
  </conditionalFormatting>
  <conditionalFormatting sqref="U162">
    <cfRule type="cellIs" dxfId="738" priority="2070" operator="equal">
      <formula>0</formula>
    </cfRule>
  </conditionalFormatting>
  <conditionalFormatting sqref="U163 U232:U240">
    <cfRule type="cellIs" dxfId="737" priority="2063" operator="equal">
      <formula>0</formula>
    </cfRule>
  </conditionalFormatting>
  <conditionalFormatting sqref="V168:V169">
    <cfRule type="cellIs" dxfId="736" priority="2062" operator="equal">
      <formula>0</formula>
    </cfRule>
  </conditionalFormatting>
  <conditionalFormatting sqref="W168:W169 W182:X182 W183 X225:X227 W234:W240 W180">
    <cfRule type="cellIs" dxfId="735" priority="2061" operator="equal">
      <formula>0</formula>
    </cfRule>
  </conditionalFormatting>
  <conditionalFormatting sqref="U164">
    <cfRule type="cellIs" dxfId="734" priority="2056" operator="equal">
      <formula>0</formula>
    </cfRule>
  </conditionalFormatting>
  <conditionalFormatting sqref="U165">
    <cfRule type="cellIs" dxfId="733" priority="2049" operator="equal">
      <formula>0</formula>
    </cfRule>
  </conditionalFormatting>
  <conditionalFormatting sqref="U241">
    <cfRule type="cellIs" dxfId="732" priority="2042" operator="equal">
      <formula>0</formula>
    </cfRule>
  </conditionalFormatting>
  <conditionalFormatting sqref="U242">
    <cfRule type="cellIs" dxfId="731" priority="2035" operator="equal">
      <formula>0</formula>
    </cfRule>
  </conditionalFormatting>
  <conditionalFormatting sqref="U243">
    <cfRule type="cellIs" dxfId="730" priority="2028" operator="equal">
      <formula>0</formula>
    </cfRule>
  </conditionalFormatting>
  <conditionalFormatting sqref="U244">
    <cfRule type="cellIs" dxfId="729" priority="2021" operator="equal">
      <formula>0</formula>
    </cfRule>
  </conditionalFormatting>
  <conditionalFormatting sqref="U246">
    <cfRule type="cellIs" dxfId="728" priority="2014" operator="equal">
      <formula>0</formula>
    </cfRule>
  </conditionalFormatting>
  <conditionalFormatting sqref="U247">
    <cfRule type="cellIs" dxfId="727" priority="2007" operator="equal">
      <formula>0</formula>
    </cfRule>
  </conditionalFormatting>
  <conditionalFormatting sqref="U248">
    <cfRule type="cellIs" dxfId="726" priority="2000" operator="equal">
      <formula>0</formula>
    </cfRule>
  </conditionalFormatting>
  <conditionalFormatting sqref="U249">
    <cfRule type="cellIs" dxfId="725" priority="1993" operator="equal">
      <formula>0</formula>
    </cfRule>
  </conditionalFormatting>
  <conditionalFormatting sqref="U250">
    <cfRule type="cellIs" dxfId="724" priority="1986" operator="equal">
      <formula>0</formula>
    </cfRule>
  </conditionalFormatting>
  <conditionalFormatting sqref="U294">
    <cfRule type="cellIs" dxfId="723" priority="1979" operator="equal">
      <formula>0</formula>
    </cfRule>
  </conditionalFormatting>
  <conditionalFormatting sqref="U295">
    <cfRule type="cellIs" dxfId="722" priority="1972" operator="equal">
      <formula>0</formula>
    </cfRule>
  </conditionalFormatting>
  <conditionalFormatting sqref="U296">
    <cfRule type="cellIs" dxfId="721" priority="1965" operator="equal">
      <formula>0</formula>
    </cfRule>
  </conditionalFormatting>
  <conditionalFormatting sqref="U297">
    <cfRule type="cellIs" dxfId="720" priority="1958" operator="equal">
      <formula>0</formula>
    </cfRule>
  </conditionalFormatting>
  <conditionalFormatting sqref="U299">
    <cfRule type="cellIs" dxfId="719" priority="1951" operator="equal">
      <formula>0</formula>
    </cfRule>
  </conditionalFormatting>
  <conditionalFormatting sqref="U300">
    <cfRule type="cellIs" dxfId="718" priority="1944" operator="equal">
      <formula>0</formula>
    </cfRule>
  </conditionalFormatting>
  <conditionalFormatting sqref="U301">
    <cfRule type="cellIs" dxfId="717" priority="1937" operator="equal">
      <formula>0</formula>
    </cfRule>
  </conditionalFormatting>
  <conditionalFormatting sqref="U302">
    <cfRule type="cellIs" dxfId="716" priority="1930" operator="equal">
      <formula>0</formula>
    </cfRule>
  </conditionalFormatting>
  <conditionalFormatting sqref="U303">
    <cfRule type="cellIs" dxfId="715" priority="1923" operator="equal">
      <formula>0</formula>
    </cfRule>
  </conditionalFormatting>
  <conditionalFormatting sqref="U282:U283">
    <cfRule type="cellIs" dxfId="714" priority="1916" operator="equal">
      <formula>0</formula>
    </cfRule>
  </conditionalFormatting>
  <conditionalFormatting sqref="U282:U283">
    <cfRule type="cellIs" dxfId="713" priority="1909" operator="equal">
      <formula>0</formula>
    </cfRule>
  </conditionalFormatting>
  <conditionalFormatting sqref="K144:K149 K115:K120 K138:K142 K176:K178 K264:K266 K319:K322 K152:K159 K161:K174 K246:K262 K232:K240 K242:K244 K295:K297">
    <cfRule type="cellIs" dxfId="712" priority="1879" operator="lessThan">
      <formula>-1</formula>
    </cfRule>
    <cfRule type="cellIs" dxfId="711" priority="1880" operator="between">
      <formula>-0.2</formula>
      <formula>-1</formula>
    </cfRule>
    <cfRule type="cellIs" dxfId="710" priority="1881" operator="between">
      <formula>-0.2</formula>
      <formula>0.2</formula>
    </cfRule>
    <cfRule type="cellIs" dxfId="709" priority="1882" operator="greaterThan">
      <formula>0.2</formula>
    </cfRule>
  </conditionalFormatting>
  <conditionalFormatting sqref="U108:U110">
    <cfRule type="cellIs" dxfId="708" priority="1878" operator="equal">
      <formula>0</formula>
    </cfRule>
  </conditionalFormatting>
  <conditionalFormatting sqref="W282:X282 X283">
    <cfRule type="cellIs" dxfId="707" priority="1814" operator="equal">
      <formula>0</formula>
    </cfRule>
  </conditionalFormatting>
  <conditionalFormatting sqref="V282:V283">
    <cfRule type="cellIs" dxfId="706" priority="1815" operator="equal">
      <formula>0</formula>
    </cfRule>
  </conditionalFormatting>
  <conditionalFormatting sqref="K108:K110">
    <cfRule type="cellIs" dxfId="705" priority="1872" operator="lessThan">
      <formula>-1</formula>
    </cfRule>
    <cfRule type="cellIs" dxfId="704" priority="1873" operator="between">
      <formula>-0.2</formula>
      <formula>-1</formula>
    </cfRule>
    <cfRule type="cellIs" dxfId="703" priority="1874" operator="between">
      <formula>-0.2</formula>
      <formula>0.2</formula>
    </cfRule>
    <cfRule type="cellIs" dxfId="702" priority="1875" operator="greaterThan">
      <formula>0.2</formula>
    </cfRule>
  </conditionalFormatting>
  <conditionalFormatting sqref="K89 K91:K95">
    <cfRule type="cellIs" dxfId="701" priority="1868" operator="lessThan">
      <formula>-1</formula>
    </cfRule>
    <cfRule type="cellIs" dxfId="700" priority="1869" operator="between">
      <formula>-0.2</formula>
      <formula>-1</formula>
    </cfRule>
    <cfRule type="cellIs" dxfId="699" priority="1870" operator="between">
      <formula>-0.2</formula>
      <formula>0.2</formula>
    </cfRule>
    <cfRule type="cellIs" dxfId="698" priority="1871" operator="greaterThan">
      <formula>0.2</formula>
    </cfRule>
  </conditionalFormatting>
  <conditionalFormatting sqref="U89 U91:U95">
    <cfRule type="cellIs" dxfId="697" priority="1867" operator="equal">
      <formula>0</formula>
    </cfRule>
  </conditionalFormatting>
  <conditionalFormatting sqref="W73:X78">
    <cfRule type="cellIs" dxfId="696" priority="1864" operator="equal">
      <formula>0</formula>
    </cfRule>
  </conditionalFormatting>
  <conditionalFormatting sqref="W108:W110">
    <cfRule type="cellIs" dxfId="695" priority="1842" operator="equal">
      <formula>0</formula>
    </cfRule>
  </conditionalFormatting>
  <conditionalFormatting sqref="W89:X89 W91:W95 X91:X94">
    <cfRule type="cellIs" dxfId="694" priority="1843" operator="equal">
      <formula>0</formula>
    </cfRule>
  </conditionalFormatting>
  <conditionalFormatting sqref="V166:V167">
    <cfRule type="cellIs" dxfId="693" priority="1821" operator="equal">
      <formula>0</formula>
    </cfRule>
  </conditionalFormatting>
  <conditionalFormatting sqref="X108:X110">
    <cfRule type="cellIs" dxfId="692" priority="1841" operator="equal">
      <formula>0</formula>
    </cfRule>
  </conditionalFormatting>
  <conditionalFormatting sqref="W254:W255">
    <cfRule type="cellIs" dxfId="691" priority="1808" operator="equal">
      <formula>0</formula>
    </cfRule>
  </conditionalFormatting>
  <conditionalFormatting sqref="V264:V266">
    <cfRule type="cellIs" dxfId="690" priority="1805" operator="equal">
      <formula>0</formula>
    </cfRule>
  </conditionalFormatting>
  <conditionalFormatting sqref="W170:W174">
    <cfRule type="cellIs" dxfId="689" priority="1822" operator="equal">
      <formula>0</formula>
    </cfRule>
  </conditionalFormatting>
  <conditionalFormatting sqref="W166:W167">
    <cfRule type="cellIs" dxfId="688" priority="1820" operator="equal">
      <formula>0</formula>
    </cfRule>
  </conditionalFormatting>
  <conditionalFormatting sqref="V196:V197">
    <cfRule type="cellIs" dxfId="687" priority="1819" operator="equal">
      <formula>0</formula>
    </cfRule>
  </conditionalFormatting>
  <conditionalFormatting sqref="W196:X197">
    <cfRule type="cellIs" dxfId="686" priority="1818" operator="equal">
      <formula>0</formula>
    </cfRule>
  </conditionalFormatting>
  <conditionalFormatting sqref="W251:W252">
    <cfRule type="cellIs" dxfId="685" priority="1809" operator="equal">
      <formula>0</formula>
    </cfRule>
  </conditionalFormatting>
  <conditionalFormatting sqref="W258:W262">
    <cfRule type="cellIs" dxfId="684" priority="1806" operator="equal">
      <formula>0</formula>
    </cfRule>
  </conditionalFormatting>
  <conditionalFormatting sqref="V264">
    <cfRule type="cellIs" dxfId="683" priority="1804" operator="equal">
      <formula>0</formula>
    </cfRule>
  </conditionalFormatting>
  <conditionalFormatting sqref="V265">
    <cfRule type="cellIs" dxfId="682" priority="1803" operator="equal">
      <formula>0</formula>
    </cfRule>
  </conditionalFormatting>
  <conditionalFormatting sqref="V266">
    <cfRule type="cellIs" dxfId="681" priority="1802" operator="equal">
      <formula>0</formula>
    </cfRule>
  </conditionalFormatting>
  <conditionalFormatting sqref="W431:W433">
    <cfRule type="cellIs" dxfId="680" priority="1798" operator="equal">
      <formula>0</formula>
    </cfRule>
  </conditionalFormatting>
  <conditionalFormatting sqref="L5 L455:L457 L459:L464 L35:L41 L43:L46 L48:L53 L73:L89 L55:L71 L115:L120 L97:L113 L206:L218 L202:L204 L288:L292 L311:L316 L299:L309 L427:L438 L440:L443 L448:L451 L401:L425 L395:L399 L270:L286 L264:L268 L176:L180 L29:L32 L25:L27 L22:L23 L8:L20 L370 L360:L368 L355:L357 L332:L353 L329 L319:L327 L190:L200 L182:L188 L133:L135 L123:L131">
    <cfRule type="cellIs" dxfId="679" priority="1539" operator="between">
      <formula>0.2</formula>
      <formula>0.899</formula>
    </cfRule>
    <cfRule type="cellIs" dxfId="678" priority="1540" operator="equal">
      <formula>0</formula>
    </cfRule>
    <cfRule type="cellIs" dxfId="677" priority="1541" operator="between">
      <formula>0.01</formula>
      <formula>0.2</formula>
    </cfRule>
    <cfRule type="cellIs" dxfId="676" priority="1542" operator="lessThan">
      <formula>-0.9</formula>
    </cfRule>
    <cfRule type="cellIs" dxfId="675" priority="1543" operator="between">
      <formula>-0.2</formula>
      <formula>-0.9</formula>
    </cfRule>
    <cfRule type="cellIs" dxfId="674" priority="1544" operator="between">
      <formula>-0.2</formula>
      <formula>-0.01</formula>
    </cfRule>
    <cfRule type="cellIs" dxfId="673" priority="1545" operator="greaterThan">
      <formula>0.9</formula>
    </cfRule>
  </conditionalFormatting>
  <conditionalFormatting sqref="T464">
    <cfRule type="cellIs" dxfId="672" priority="1061" operator="equal">
      <formula>0</formula>
    </cfRule>
  </conditionalFormatting>
  <conditionalFormatting sqref="U464:V464">
    <cfRule type="cellIs" dxfId="671" priority="1060" operator="equal">
      <formula>0</formula>
    </cfRule>
  </conditionalFormatting>
  <conditionalFormatting sqref="W227">
    <cfRule type="cellIs" dxfId="670" priority="1052" operator="equal">
      <formula>0</formula>
    </cfRule>
  </conditionalFormatting>
  <conditionalFormatting sqref="K193">
    <cfRule type="cellIs" dxfId="669" priority="977" operator="lessThan">
      <formula>-1</formula>
    </cfRule>
    <cfRule type="cellIs" dxfId="668" priority="978" operator="between">
      <formula>-0.2</formula>
      <formula>-1</formula>
    </cfRule>
    <cfRule type="cellIs" dxfId="667" priority="979" operator="between">
      <formula>-0.2</formula>
      <formula>0.2</formula>
    </cfRule>
    <cfRule type="cellIs" dxfId="666" priority="980" operator="greaterThan">
      <formula>0.2</formula>
    </cfRule>
  </conditionalFormatting>
  <conditionalFormatting sqref="K231">
    <cfRule type="cellIs" dxfId="665" priority="955" operator="lessThan">
      <formula>-1</formula>
    </cfRule>
    <cfRule type="cellIs" dxfId="664" priority="956" operator="between">
      <formula>-0.2</formula>
      <formula>-1</formula>
    </cfRule>
    <cfRule type="cellIs" dxfId="663" priority="957" operator="between">
      <formula>-0.2</formula>
      <formula>0.2</formula>
    </cfRule>
    <cfRule type="cellIs" dxfId="662" priority="958" operator="greaterThan">
      <formula>0.2</formula>
    </cfRule>
  </conditionalFormatting>
  <conditionalFormatting sqref="K58">
    <cfRule type="cellIs" dxfId="661" priority="999" operator="lessThan">
      <formula>-1</formula>
    </cfRule>
    <cfRule type="cellIs" dxfId="660" priority="1000" operator="between">
      <formula>-0.2</formula>
      <formula>-1</formula>
    </cfRule>
    <cfRule type="cellIs" dxfId="659" priority="1001" operator="between">
      <formula>-0.2</formula>
      <formula>0.2</formula>
    </cfRule>
    <cfRule type="cellIs" dxfId="658" priority="1002" operator="greaterThan">
      <formula>0.2</formula>
    </cfRule>
  </conditionalFormatting>
  <conditionalFormatting sqref="K143">
    <cfRule type="cellIs" dxfId="657" priority="988" operator="lessThan">
      <formula>-1</formula>
    </cfRule>
    <cfRule type="cellIs" dxfId="656" priority="989" operator="between">
      <formula>-0.2</formula>
      <formula>-1</formula>
    </cfRule>
    <cfRule type="cellIs" dxfId="655" priority="990" operator="between">
      <formula>-0.2</formula>
      <formula>0.2</formula>
    </cfRule>
    <cfRule type="cellIs" dxfId="654" priority="991" operator="greaterThan">
      <formula>0.2</formula>
    </cfRule>
  </conditionalFormatting>
  <conditionalFormatting sqref="K279">
    <cfRule type="cellIs" dxfId="653" priority="944" operator="lessThan">
      <formula>-1</formula>
    </cfRule>
    <cfRule type="cellIs" dxfId="652" priority="945" operator="between">
      <formula>-0.2</formula>
      <formula>-1</formula>
    </cfRule>
    <cfRule type="cellIs" dxfId="651" priority="946" operator="between">
      <formula>-0.2</formula>
      <formula>0.2</formula>
    </cfRule>
    <cfRule type="cellIs" dxfId="650" priority="947" operator="greaterThan">
      <formula>0.2</formula>
    </cfRule>
  </conditionalFormatting>
  <conditionalFormatting sqref="K406">
    <cfRule type="cellIs" dxfId="649" priority="933" operator="lessThan">
      <formula>-1</formula>
    </cfRule>
    <cfRule type="cellIs" dxfId="648" priority="934" operator="between">
      <formula>-0.2</formula>
      <formula>-1</formula>
    </cfRule>
    <cfRule type="cellIs" dxfId="647" priority="935" operator="between">
      <formula>-0.2</formula>
      <formula>0.2</formula>
    </cfRule>
    <cfRule type="cellIs" dxfId="646" priority="936" operator="greaterThan">
      <formula>0.2</formula>
    </cfRule>
  </conditionalFormatting>
  <conditionalFormatting sqref="K76">
    <cfRule type="cellIs" dxfId="645" priority="922" operator="lessThan">
      <formula>-1</formula>
    </cfRule>
    <cfRule type="cellIs" dxfId="644" priority="923" operator="between">
      <formula>-0.2</formula>
      <formula>-1</formula>
    </cfRule>
    <cfRule type="cellIs" dxfId="643" priority="924" operator="between">
      <formula>-0.2</formula>
      <formula>0.2</formula>
    </cfRule>
    <cfRule type="cellIs" dxfId="642" priority="925" operator="greaterThan">
      <formula>0.2</formula>
    </cfRule>
  </conditionalFormatting>
  <conditionalFormatting sqref="U76">
    <cfRule type="cellIs" dxfId="641" priority="921" operator="equal">
      <formula>0</formula>
    </cfRule>
  </conditionalFormatting>
  <conditionalFormatting sqref="U143">
    <cfRule type="cellIs" dxfId="640" priority="920" operator="equal">
      <formula>0</formula>
    </cfRule>
  </conditionalFormatting>
  <conditionalFormatting sqref="U193">
    <cfRule type="cellIs" dxfId="639" priority="919" operator="equal">
      <formula>0</formula>
    </cfRule>
  </conditionalFormatting>
  <conditionalFormatting sqref="U231">
    <cfRule type="cellIs" dxfId="638" priority="917" operator="equal">
      <formula>0</formula>
    </cfRule>
  </conditionalFormatting>
  <conditionalFormatting sqref="U279">
    <cfRule type="cellIs" dxfId="637" priority="916" operator="equal">
      <formula>0</formula>
    </cfRule>
  </conditionalFormatting>
  <conditionalFormatting sqref="U406">
    <cfRule type="cellIs" dxfId="636" priority="915" operator="equal">
      <formula>0</formula>
    </cfRule>
  </conditionalFormatting>
  <conditionalFormatting sqref="X139">
    <cfRule type="cellIs" dxfId="635" priority="910" operator="equal">
      <formula>0</formula>
    </cfRule>
  </conditionalFormatting>
  <conditionalFormatting sqref="W138:W139">
    <cfRule type="cellIs" dxfId="634" priority="909" operator="equal">
      <formula>0</formula>
    </cfRule>
  </conditionalFormatting>
  <conditionalFormatting sqref="K179:K180">
    <cfRule type="cellIs" dxfId="633" priority="905" operator="lessThan">
      <formula>-1</formula>
    </cfRule>
    <cfRule type="cellIs" dxfId="632" priority="906" operator="between">
      <formula>-0.2</formula>
      <formula>-1</formula>
    </cfRule>
    <cfRule type="cellIs" dxfId="631" priority="907" operator="between">
      <formula>-0.2</formula>
      <formula>0.2</formula>
    </cfRule>
    <cfRule type="cellIs" dxfId="630" priority="908" operator="greaterThan">
      <formula>0.2</formula>
    </cfRule>
  </conditionalFormatting>
  <conditionalFormatting sqref="L6 L138:L149 L152:L155 L161:L174 L246:L262 L91:L95 L221:L240 L373:L380 L383:L393 L157:L159 L242:L244 L295:L297">
    <cfRule type="cellIs" dxfId="629" priority="815" operator="between">
      <formula>0.2</formula>
      <formula>0.899</formula>
    </cfRule>
    <cfRule type="cellIs" dxfId="628" priority="816" operator="equal">
      <formula>0</formula>
    </cfRule>
    <cfRule type="cellIs" dxfId="627" priority="817" operator="between">
      <formula>0.01</formula>
      <formula>0.2</formula>
    </cfRule>
    <cfRule type="cellIs" dxfId="626" priority="818" operator="lessThan">
      <formula>-0.9</formula>
    </cfRule>
    <cfRule type="cellIs" dxfId="625" priority="819" operator="between">
      <formula>-0.2</formula>
      <formula>-0.9</formula>
    </cfRule>
    <cfRule type="cellIs" dxfId="624" priority="820" operator="between">
      <formula>-0.2</formula>
      <formula>-0.01</formula>
    </cfRule>
    <cfRule type="cellIs" dxfId="623" priority="821" operator="greaterThan">
      <formula>0.9</formula>
    </cfRule>
  </conditionalFormatting>
  <conditionalFormatting sqref="V267:V268">
    <cfRule type="cellIs" dxfId="622" priority="844" operator="equal">
      <formula>0</formula>
    </cfRule>
  </conditionalFormatting>
  <conditionalFormatting sqref="V267:V268">
    <cfRule type="cellIs" dxfId="621" priority="843" operator="equal">
      <formula>0</formula>
    </cfRule>
  </conditionalFormatting>
  <conditionalFormatting sqref="K267:K268">
    <cfRule type="cellIs" dxfId="620" priority="889" operator="lessThan">
      <formula>-1</formula>
    </cfRule>
    <cfRule type="cellIs" dxfId="619" priority="890" operator="between">
      <formula>-0.2</formula>
      <formula>-1</formula>
    </cfRule>
    <cfRule type="cellIs" dxfId="618" priority="891" operator="between">
      <formula>-0.2</formula>
      <formula>0.2</formula>
    </cfRule>
    <cfRule type="cellIs" dxfId="617" priority="892" operator="greaterThan">
      <formula>0.2</formula>
    </cfRule>
  </conditionalFormatting>
  <conditionalFormatting sqref="W267:W268">
    <cfRule type="cellIs" dxfId="616" priority="842" operator="equal">
      <formula>0</formula>
    </cfRule>
  </conditionalFormatting>
  <conditionalFormatting sqref="K398:K399">
    <cfRule type="cellIs" dxfId="615" priority="873" operator="lessThan">
      <formula>-1</formula>
    </cfRule>
    <cfRule type="cellIs" dxfId="614" priority="874" operator="between">
      <formula>-0.2</formula>
      <formula>-1</formula>
    </cfRule>
    <cfRule type="cellIs" dxfId="613" priority="875" operator="between">
      <formula>-0.2</formula>
      <formula>0.2</formula>
    </cfRule>
    <cfRule type="cellIs" dxfId="612" priority="876" operator="greaterThan">
      <formula>0.2</formula>
    </cfRule>
  </conditionalFormatting>
  <conditionalFormatting sqref="V179:V180">
    <cfRule type="cellIs" dxfId="611" priority="857" operator="equal">
      <formula>0</formula>
    </cfRule>
  </conditionalFormatting>
  <conditionalFormatting sqref="V179:V180">
    <cfRule type="cellIs" dxfId="610" priority="856" operator="equal">
      <formula>0</formula>
    </cfRule>
  </conditionalFormatting>
  <conditionalFormatting sqref="W179:W180">
    <cfRule type="cellIs" dxfId="609" priority="854" operator="equal">
      <formula>0</formula>
    </cfRule>
  </conditionalFormatting>
  <conditionalFormatting sqref="V398:V399">
    <cfRule type="cellIs" dxfId="608" priority="831" operator="equal">
      <formula>0</formula>
    </cfRule>
  </conditionalFormatting>
  <conditionalFormatting sqref="V398:V399">
    <cfRule type="cellIs" dxfId="607" priority="832" operator="equal">
      <formula>0</formula>
    </cfRule>
  </conditionalFormatting>
  <conditionalFormatting sqref="L330:L331">
    <cfRule type="cellIs" dxfId="606" priority="783" operator="between">
      <formula>0.2</formula>
      <formula>0.899</formula>
    </cfRule>
    <cfRule type="cellIs" dxfId="605" priority="784" operator="equal">
      <formula>0</formula>
    </cfRule>
    <cfRule type="cellIs" dxfId="604" priority="785" operator="between">
      <formula>0.01</formula>
      <formula>0.2</formula>
    </cfRule>
    <cfRule type="cellIs" dxfId="603" priority="786" operator="lessThan">
      <formula>-0.9</formula>
    </cfRule>
    <cfRule type="cellIs" dxfId="602" priority="787" operator="between">
      <formula>-0.2</formula>
      <formula>-0.9</formula>
    </cfRule>
    <cfRule type="cellIs" dxfId="601" priority="788" operator="between">
      <formula>-0.2</formula>
      <formula>-0.01</formula>
    </cfRule>
    <cfRule type="cellIs" dxfId="600" priority="789" operator="greaterThan">
      <formula>0.9</formula>
    </cfRule>
  </conditionalFormatting>
  <conditionalFormatting sqref="L7">
    <cfRule type="cellIs" dxfId="599" priority="811" operator="lessThan">
      <formula>-1</formula>
    </cfRule>
    <cfRule type="cellIs" dxfId="598" priority="812" operator="between">
      <formula>-0.2</formula>
      <formula>-1</formula>
    </cfRule>
    <cfRule type="cellIs" dxfId="597" priority="813" operator="between">
      <formula>-0.2</formula>
      <formula>0.2</formula>
    </cfRule>
    <cfRule type="cellIs" dxfId="596" priority="814" operator="greaterThan">
      <formula>0.2</formula>
    </cfRule>
  </conditionalFormatting>
  <conditionalFormatting sqref="L24">
    <cfRule type="cellIs" dxfId="595" priority="807" operator="lessThan">
      <formula>-1</formula>
    </cfRule>
    <cfRule type="cellIs" dxfId="594" priority="808" operator="between">
      <formula>-0.2</formula>
      <formula>-1</formula>
    </cfRule>
    <cfRule type="cellIs" dxfId="593" priority="809" operator="between">
      <formula>-0.2</formula>
      <formula>0.2</formula>
    </cfRule>
    <cfRule type="cellIs" dxfId="592" priority="810" operator="greaterThan">
      <formula>0.2</formula>
    </cfRule>
  </conditionalFormatting>
  <conditionalFormatting sqref="K175">
    <cfRule type="cellIs" dxfId="591" priority="684" operator="between">
      <formula>0.2</formula>
      <formula>0.899</formula>
    </cfRule>
    <cfRule type="cellIs" dxfId="590" priority="685" operator="equal">
      <formula>0</formula>
    </cfRule>
    <cfRule type="cellIs" dxfId="589" priority="686" operator="between">
      <formula>0.01</formula>
      <formula>0.2</formula>
    </cfRule>
    <cfRule type="cellIs" dxfId="588" priority="687" operator="lessThan">
      <formula>-0.9</formula>
    </cfRule>
    <cfRule type="cellIs" dxfId="587" priority="688" operator="between">
      <formula>-0.2</formula>
      <formula>-0.9</formula>
    </cfRule>
    <cfRule type="cellIs" dxfId="586" priority="689" operator="between">
      <formula>-0.2</formula>
      <formula>-0.01</formula>
    </cfRule>
    <cfRule type="cellIs" dxfId="585" priority="690" operator="greaterThan">
      <formula>0.9</formula>
    </cfRule>
  </conditionalFormatting>
  <conditionalFormatting sqref="K331">
    <cfRule type="cellIs" dxfId="584" priority="790" operator="lessThan">
      <formula>-1</formula>
    </cfRule>
    <cfRule type="cellIs" dxfId="583" priority="791" operator="between">
      <formula>-0.2</formula>
      <formula>-1</formula>
    </cfRule>
    <cfRule type="cellIs" dxfId="582" priority="792" operator="between">
      <formula>-0.2</formula>
      <formula>0.2</formula>
    </cfRule>
    <cfRule type="cellIs" dxfId="581" priority="793" operator="greaterThan">
      <formula>0.2</formula>
    </cfRule>
  </conditionalFormatting>
  <conditionalFormatting sqref="L175">
    <cfRule type="cellIs" dxfId="580" priority="695" operator="between">
      <formula>0.2</formula>
      <formula>0.899</formula>
    </cfRule>
    <cfRule type="cellIs" dxfId="579" priority="696" operator="equal">
      <formula>0</formula>
    </cfRule>
    <cfRule type="cellIs" dxfId="578" priority="697" operator="between">
      <formula>0.01</formula>
      <formula>0.2</formula>
    </cfRule>
    <cfRule type="cellIs" dxfId="577" priority="698" operator="lessThan">
      <formula>-0.9</formula>
    </cfRule>
    <cfRule type="cellIs" dxfId="576" priority="699" operator="between">
      <formula>-0.2</formula>
      <formula>-0.9</formula>
    </cfRule>
    <cfRule type="cellIs" dxfId="575" priority="700" operator="between">
      <formula>-0.2</formula>
      <formula>-0.01</formula>
    </cfRule>
    <cfRule type="cellIs" dxfId="574" priority="701" operator="greaterThan">
      <formula>0.9</formula>
    </cfRule>
  </conditionalFormatting>
  <conditionalFormatting sqref="W175">
    <cfRule type="cellIs" dxfId="573" priority="693" operator="equal">
      <formula>0</formula>
    </cfRule>
  </conditionalFormatting>
  <conditionalFormatting sqref="V175">
    <cfRule type="cellIs" dxfId="572" priority="692" operator="equal">
      <formula>0</formula>
    </cfRule>
  </conditionalFormatting>
  <conditionalFormatting sqref="V394">
    <cfRule type="cellIs" dxfId="571" priority="646" operator="equal">
      <formula>0</formula>
    </cfRule>
  </conditionalFormatting>
  <conditionalFormatting sqref="V121:W122">
    <cfRule type="cellIs" dxfId="570" priority="612" operator="equal">
      <formula>0</formula>
    </cfRule>
  </conditionalFormatting>
  <conditionalFormatting sqref="K263">
    <cfRule type="cellIs" dxfId="569" priority="673" operator="lessThan">
      <formula>-1</formula>
    </cfRule>
    <cfRule type="cellIs" dxfId="568" priority="674" operator="between">
      <formula>-0.2</formula>
      <formula>-1</formula>
    </cfRule>
    <cfRule type="cellIs" dxfId="567" priority="675" operator="between">
      <formula>-0.2</formula>
      <formula>0.2</formula>
    </cfRule>
    <cfRule type="cellIs" dxfId="566" priority="676" operator="greaterThan">
      <formula>0.2</formula>
    </cfRule>
  </conditionalFormatting>
  <conditionalFormatting sqref="L263">
    <cfRule type="cellIs" dxfId="565" priority="666" operator="between">
      <formula>0.2</formula>
      <formula>0.899</formula>
    </cfRule>
    <cfRule type="cellIs" dxfId="564" priority="667" operator="equal">
      <formula>0</formula>
    </cfRule>
    <cfRule type="cellIs" dxfId="563" priority="668" operator="between">
      <formula>0.01</formula>
      <formula>0.2</formula>
    </cfRule>
    <cfRule type="cellIs" dxfId="562" priority="669" operator="lessThan">
      <formula>-0.9</formula>
    </cfRule>
    <cfRule type="cellIs" dxfId="561" priority="670" operator="between">
      <formula>-0.2</formula>
      <formula>-0.9</formula>
    </cfRule>
    <cfRule type="cellIs" dxfId="560" priority="671" operator="between">
      <formula>-0.2</formula>
      <formula>-0.01</formula>
    </cfRule>
    <cfRule type="cellIs" dxfId="559" priority="672" operator="greaterThan">
      <formula>0.9</formula>
    </cfRule>
  </conditionalFormatting>
  <conditionalFormatting sqref="W263">
    <cfRule type="cellIs" dxfId="558" priority="664" operator="equal">
      <formula>0</formula>
    </cfRule>
  </conditionalFormatting>
  <conditionalFormatting sqref="V263">
    <cfRule type="cellIs" dxfId="557" priority="663" operator="equal">
      <formula>0</formula>
    </cfRule>
  </conditionalFormatting>
  <conditionalFormatting sqref="K394">
    <cfRule type="cellIs" dxfId="556" priority="655" operator="lessThan">
      <formula>-1</formula>
    </cfRule>
    <cfRule type="cellIs" dxfId="555" priority="656" operator="between">
      <formula>-0.2</formula>
      <formula>-1</formula>
    </cfRule>
    <cfRule type="cellIs" dxfId="554" priority="657" operator="between">
      <formula>-0.2</formula>
      <formula>0.2</formula>
    </cfRule>
    <cfRule type="cellIs" dxfId="553" priority="658" operator="greaterThan">
      <formula>0.2</formula>
    </cfRule>
  </conditionalFormatting>
  <conditionalFormatting sqref="L394">
    <cfRule type="cellIs" dxfId="552" priority="648" operator="between">
      <formula>0.2</formula>
      <formula>0.899</formula>
    </cfRule>
    <cfRule type="cellIs" dxfId="551" priority="649" operator="equal">
      <formula>0</formula>
    </cfRule>
    <cfRule type="cellIs" dxfId="550" priority="650" operator="between">
      <formula>0.01</formula>
      <formula>0.2</formula>
    </cfRule>
    <cfRule type="cellIs" dxfId="549" priority="651" operator="lessThan">
      <formula>-0.9</formula>
    </cfRule>
    <cfRule type="cellIs" dxfId="548" priority="652" operator="between">
      <formula>-0.2</formula>
      <formula>-0.9</formula>
    </cfRule>
    <cfRule type="cellIs" dxfId="547" priority="653" operator="between">
      <formula>-0.2</formula>
      <formula>-0.01</formula>
    </cfRule>
    <cfRule type="cellIs" dxfId="546" priority="654" operator="greaterThan">
      <formula>0.9</formula>
    </cfRule>
  </conditionalFormatting>
  <conditionalFormatting sqref="K317:K318">
    <cfRule type="cellIs" dxfId="545" priority="642" operator="lessThan">
      <formula>-1</formula>
    </cfRule>
    <cfRule type="cellIs" dxfId="544" priority="643" operator="between">
      <formula>-0.2</formula>
      <formula>-1</formula>
    </cfRule>
    <cfRule type="cellIs" dxfId="543" priority="644" operator="between">
      <formula>-0.2</formula>
      <formula>0.2</formula>
    </cfRule>
    <cfRule type="cellIs" dxfId="542" priority="645" operator="greaterThan">
      <formula>0.2</formula>
    </cfRule>
  </conditionalFormatting>
  <conditionalFormatting sqref="L317:L318">
    <cfRule type="cellIs" dxfId="541" priority="635" operator="between">
      <formula>0.2</formula>
      <formula>0.899</formula>
    </cfRule>
    <cfRule type="cellIs" dxfId="540" priority="636" operator="equal">
      <formula>0</formula>
    </cfRule>
    <cfRule type="cellIs" dxfId="539" priority="637" operator="between">
      <formula>0.01</formula>
      <formula>0.2</formula>
    </cfRule>
    <cfRule type="cellIs" dxfId="538" priority="638" operator="lessThan">
      <formula>-0.9</formula>
    </cfRule>
    <cfRule type="cellIs" dxfId="537" priority="639" operator="between">
      <formula>-0.2</formula>
      <formula>-0.9</formula>
    </cfRule>
    <cfRule type="cellIs" dxfId="536" priority="640" operator="between">
      <formula>-0.2</formula>
      <formula>-0.01</formula>
    </cfRule>
    <cfRule type="cellIs" dxfId="535" priority="641" operator="greaterThan">
      <formula>0.9</formula>
    </cfRule>
  </conditionalFormatting>
  <conditionalFormatting sqref="T317:U318">
    <cfRule type="cellIs" dxfId="534" priority="634" operator="equal">
      <formula>0</formula>
    </cfRule>
  </conditionalFormatting>
  <conditionalFormatting sqref="V317:W318">
    <cfRule type="cellIs" dxfId="533" priority="633" operator="equal">
      <formula>0</formula>
    </cfRule>
  </conditionalFormatting>
  <conditionalFormatting sqref="K121:K122">
    <cfRule type="cellIs" dxfId="532" priority="621" operator="lessThan">
      <formula>-1</formula>
    </cfRule>
    <cfRule type="cellIs" dxfId="531" priority="622" operator="between">
      <formula>-0.2</formula>
      <formula>-1</formula>
    </cfRule>
    <cfRule type="cellIs" dxfId="530" priority="623" operator="between">
      <formula>-0.2</formula>
      <formula>0.2</formula>
    </cfRule>
    <cfRule type="cellIs" dxfId="529" priority="624" operator="greaterThan">
      <formula>0.2</formula>
    </cfRule>
  </conditionalFormatting>
  <conditionalFormatting sqref="L121:L122">
    <cfRule type="cellIs" dxfId="528" priority="614" operator="between">
      <formula>0.2</formula>
      <formula>0.899</formula>
    </cfRule>
    <cfRule type="cellIs" dxfId="527" priority="615" operator="equal">
      <formula>0</formula>
    </cfRule>
    <cfRule type="cellIs" dxfId="526" priority="616" operator="between">
      <formula>0.01</formula>
      <formula>0.2</formula>
    </cfRule>
    <cfRule type="cellIs" dxfId="525" priority="617" operator="lessThan">
      <formula>-0.9</formula>
    </cfRule>
    <cfRule type="cellIs" dxfId="524" priority="618" operator="between">
      <formula>-0.2</formula>
      <formula>-0.9</formula>
    </cfRule>
    <cfRule type="cellIs" dxfId="523" priority="619" operator="between">
      <formula>-0.2</formula>
      <formula>-0.01</formula>
    </cfRule>
    <cfRule type="cellIs" dxfId="522" priority="620" operator="greaterThan">
      <formula>0.9</formula>
    </cfRule>
  </conditionalFormatting>
  <conditionalFormatting sqref="T121:U122">
    <cfRule type="cellIs" dxfId="521" priority="613" operator="equal">
      <formula>0</formula>
    </cfRule>
  </conditionalFormatting>
  <conditionalFormatting sqref="V84">
    <cfRule type="cellIs" dxfId="520" priority="611" operator="equal">
      <formula>0</formula>
    </cfRule>
  </conditionalFormatting>
  <conditionalFormatting sqref="K151">
    <cfRule type="cellIs" dxfId="519" priority="607" operator="lessThan">
      <formula>-1</formula>
    </cfRule>
    <cfRule type="cellIs" dxfId="518" priority="608" operator="between">
      <formula>-0.2</formula>
      <formula>-1</formula>
    </cfRule>
    <cfRule type="cellIs" dxfId="517" priority="609" operator="between">
      <formula>-0.2</formula>
      <formula>0.2</formula>
    </cfRule>
    <cfRule type="cellIs" dxfId="516" priority="610" operator="greaterThan">
      <formula>0.2</formula>
    </cfRule>
  </conditionalFormatting>
  <conditionalFormatting sqref="L151">
    <cfRule type="cellIs" dxfId="515" priority="600" operator="between">
      <formula>0.2</formula>
      <formula>0.899</formula>
    </cfRule>
    <cfRule type="cellIs" dxfId="514" priority="601" operator="equal">
      <formula>0</formula>
    </cfRule>
    <cfRule type="cellIs" dxfId="513" priority="602" operator="between">
      <formula>0.01</formula>
      <formula>0.2</formula>
    </cfRule>
    <cfRule type="cellIs" dxfId="512" priority="603" operator="lessThan">
      <formula>-0.9</formula>
    </cfRule>
    <cfRule type="cellIs" dxfId="511" priority="604" operator="between">
      <formula>-0.2</formula>
      <formula>-0.9</formula>
    </cfRule>
    <cfRule type="cellIs" dxfId="510" priority="605" operator="between">
      <formula>-0.2</formula>
      <formula>-0.01</formula>
    </cfRule>
    <cfRule type="cellIs" dxfId="509" priority="606" operator="greaterThan">
      <formula>0.9</formula>
    </cfRule>
  </conditionalFormatting>
  <conditionalFormatting sqref="T151">
    <cfRule type="cellIs" dxfId="508" priority="599" operator="equal">
      <formula>0</formula>
    </cfRule>
  </conditionalFormatting>
  <conditionalFormatting sqref="U151">
    <cfRule type="cellIs" dxfId="507" priority="598" operator="equal">
      <formula>0</formula>
    </cfRule>
  </conditionalFormatting>
  <conditionalFormatting sqref="K220">
    <cfRule type="cellIs" dxfId="506" priority="594" operator="lessThan">
      <formula>-1</formula>
    </cfRule>
    <cfRule type="cellIs" dxfId="505" priority="595" operator="between">
      <formula>-0.2</formula>
      <formula>-1</formula>
    </cfRule>
    <cfRule type="cellIs" dxfId="504" priority="596" operator="between">
      <formula>-0.2</formula>
      <formula>0.2</formula>
    </cfRule>
    <cfRule type="cellIs" dxfId="503" priority="597" operator="greaterThan">
      <formula>0.2</formula>
    </cfRule>
  </conditionalFormatting>
  <conditionalFormatting sqref="L220">
    <cfRule type="cellIs" dxfId="502" priority="587" operator="between">
      <formula>0.2</formula>
      <formula>0.899</formula>
    </cfRule>
    <cfRule type="cellIs" dxfId="501" priority="588" operator="equal">
      <formula>0</formula>
    </cfRule>
    <cfRule type="cellIs" dxfId="500" priority="589" operator="between">
      <formula>0.01</formula>
      <formula>0.2</formula>
    </cfRule>
    <cfRule type="cellIs" dxfId="499" priority="590" operator="lessThan">
      <formula>-0.9</formula>
    </cfRule>
    <cfRule type="cellIs" dxfId="498" priority="591" operator="between">
      <formula>-0.2</formula>
      <formula>-0.9</formula>
    </cfRule>
    <cfRule type="cellIs" dxfId="497" priority="592" operator="between">
      <formula>-0.2</formula>
      <formula>-0.01</formula>
    </cfRule>
    <cfRule type="cellIs" dxfId="496" priority="593" operator="greaterThan">
      <formula>0.9</formula>
    </cfRule>
  </conditionalFormatting>
  <conditionalFormatting sqref="S220 U220">
    <cfRule type="cellIs" dxfId="495" priority="586" operator="equal">
      <formula>0</formula>
    </cfRule>
  </conditionalFormatting>
  <conditionalFormatting sqref="T220">
    <cfRule type="cellIs" dxfId="494" priority="585" operator="equal">
      <formula>0</formula>
    </cfRule>
  </conditionalFormatting>
  <conditionalFormatting sqref="V381">
    <cfRule type="cellIs" dxfId="493" priority="583" operator="equal">
      <formula>0</formula>
    </cfRule>
  </conditionalFormatting>
  <conditionalFormatting sqref="V382">
    <cfRule type="cellIs" dxfId="492" priority="582" operator="equal">
      <formula>0</formula>
    </cfRule>
  </conditionalFormatting>
  <conditionalFormatting sqref="U51">
    <cfRule type="cellIs" dxfId="491" priority="581" operator="equal">
      <formula>0</formula>
    </cfRule>
  </conditionalFormatting>
  <conditionalFormatting sqref="K160">
    <cfRule type="cellIs" dxfId="490" priority="577" operator="lessThan">
      <formula>-1</formula>
    </cfRule>
    <cfRule type="cellIs" dxfId="489" priority="578" operator="between">
      <formula>-0.2</formula>
      <formula>-1</formula>
    </cfRule>
    <cfRule type="cellIs" dxfId="488" priority="579" operator="between">
      <formula>-0.2</formula>
      <formula>0.2</formula>
    </cfRule>
    <cfRule type="cellIs" dxfId="487" priority="580" operator="greaterThan">
      <formula>0.2</formula>
    </cfRule>
  </conditionalFormatting>
  <conditionalFormatting sqref="L160">
    <cfRule type="cellIs" dxfId="486" priority="570" operator="between">
      <formula>0.2</formula>
      <formula>0.899</formula>
    </cfRule>
    <cfRule type="cellIs" dxfId="485" priority="571" operator="equal">
      <formula>0</formula>
    </cfRule>
    <cfRule type="cellIs" dxfId="484" priority="572" operator="between">
      <formula>0.01</formula>
      <formula>0.2</formula>
    </cfRule>
    <cfRule type="cellIs" dxfId="483" priority="573" operator="lessThan">
      <formula>-0.9</formula>
    </cfRule>
    <cfRule type="cellIs" dxfId="482" priority="574" operator="between">
      <formula>-0.2</formula>
      <formula>-0.9</formula>
    </cfRule>
    <cfRule type="cellIs" dxfId="481" priority="575" operator="between">
      <formula>-0.2</formula>
      <formula>-0.01</formula>
    </cfRule>
    <cfRule type="cellIs" dxfId="480" priority="576" operator="greaterThan">
      <formula>0.9</formula>
    </cfRule>
  </conditionalFormatting>
  <conditionalFormatting sqref="V90:W90">
    <cfRule type="cellIs" dxfId="479" priority="517" operator="equal">
      <formula>0</formula>
    </cfRule>
  </conditionalFormatting>
  <conditionalFormatting sqref="K245">
    <cfRule type="cellIs" dxfId="478" priority="564" operator="lessThan">
      <formula>-1</formula>
    </cfRule>
    <cfRule type="cellIs" dxfId="477" priority="565" operator="between">
      <formula>-0.2</formula>
      <formula>-1</formula>
    </cfRule>
    <cfRule type="cellIs" dxfId="476" priority="566" operator="between">
      <formula>-0.2</formula>
      <formula>0.2</formula>
    </cfRule>
    <cfRule type="cellIs" dxfId="475" priority="567" operator="greaterThan">
      <formula>0.2</formula>
    </cfRule>
  </conditionalFormatting>
  <conditionalFormatting sqref="L245">
    <cfRule type="cellIs" dxfId="474" priority="557" operator="between">
      <formula>0.2</formula>
      <formula>0.899</formula>
    </cfRule>
    <cfRule type="cellIs" dxfId="473" priority="558" operator="equal">
      <formula>0</formula>
    </cfRule>
    <cfRule type="cellIs" dxfId="472" priority="559" operator="between">
      <formula>0.01</formula>
      <formula>0.2</formula>
    </cfRule>
    <cfRule type="cellIs" dxfId="471" priority="560" operator="lessThan">
      <formula>-0.9</formula>
    </cfRule>
    <cfRule type="cellIs" dxfId="470" priority="561" operator="between">
      <formula>-0.2</formula>
      <formula>-0.9</formula>
    </cfRule>
    <cfRule type="cellIs" dxfId="469" priority="562" operator="between">
      <formula>-0.2</formula>
      <formula>-0.01</formula>
    </cfRule>
    <cfRule type="cellIs" dxfId="468" priority="563" operator="greaterThan">
      <formula>0.9</formula>
    </cfRule>
  </conditionalFormatting>
  <conditionalFormatting sqref="K298">
    <cfRule type="cellIs" dxfId="467" priority="551" operator="lessThan">
      <formula>-1</formula>
    </cfRule>
    <cfRule type="cellIs" dxfId="466" priority="552" operator="between">
      <formula>-0.2</formula>
      <formula>-1</formula>
    </cfRule>
    <cfRule type="cellIs" dxfId="465" priority="553" operator="between">
      <formula>-0.2</formula>
      <formula>0.2</formula>
    </cfRule>
    <cfRule type="cellIs" dxfId="464" priority="554" operator="greaterThan">
      <formula>0.2</formula>
    </cfRule>
  </conditionalFormatting>
  <conditionalFormatting sqref="L298">
    <cfRule type="cellIs" dxfId="463" priority="544" operator="between">
      <formula>0.2</formula>
      <formula>0.899</formula>
    </cfRule>
    <cfRule type="cellIs" dxfId="462" priority="545" operator="equal">
      <formula>0</formula>
    </cfRule>
    <cfRule type="cellIs" dxfId="461" priority="546" operator="between">
      <formula>0.01</formula>
      <formula>0.2</formula>
    </cfRule>
    <cfRule type="cellIs" dxfId="460" priority="547" operator="lessThan">
      <formula>-0.9</formula>
    </cfRule>
    <cfRule type="cellIs" dxfId="459" priority="548" operator="between">
      <formula>-0.2</formula>
      <formula>-0.9</formula>
    </cfRule>
    <cfRule type="cellIs" dxfId="458" priority="549" operator="between">
      <formula>-0.2</formula>
      <formula>-0.01</formula>
    </cfRule>
    <cfRule type="cellIs" dxfId="457" priority="550" operator="greaterThan">
      <formula>0.9</formula>
    </cfRule>
  </conditionalFormatting>
  <conditionalFormatting sqref="U298">
    <cfRule type="cellIs" dxfId="456" priority="536" operator="equal">
      <formula>0</formula>
    </cfRule>
  </conditionalFormatting>
  <conditionalFormatting sqref="U160">
    <cfRule type="cellIs" dxfId="455" priority="538" operator="equal">
      <formula>0</formula>
    </cfRule>
  </conditionalFormatting>
  <conditionalFormatting sqref="U245">
    <cfRule type="cellIs" dxfId="454" priority="537" operator="equal">
      <formula>0</formula>
    </cfRule>
  </conditionalFormatting>
  <conditionalFormatting sqref="X101">
    <cfRule type="cellIs" dxfId="453" priority="467" operator="equal">
      <formula>0</formula>
    </cfRule>
  </conditionalFormatting>
  <conditionalFormatting sqref="X102">
    <cfRule type="cellIs" dxfId="452" priority="466" operator="equal">
      <formula>0</formula>
    </cfRule>
  </conditionalFormatting>
  <conditionalFormatting sqref="T90">
    <cfRule type="cellIs" dxfId="451" priority="518" operator="equal">
      <formula>0</formula>
    </cfRule>
  </conditionalFormatting>
  <conditionalFormatting sqref="K90">
    <cfRule type="cellIs" dxfId="450" priority="526" operator="lessThan">
      <formula>-1</formula>
    </cfRule>
    <cfRule type="cellIs" dxfId="449" priority="527" operator="between">
      <formula>-0.2</formula>
      <formula>-1</formula>
    </cfRule>
    <cfRule type="cellIs" dxfId="448" priority="528" operator="between">
      <formula>-0.2</formula>
      <formula>0.2</formula>
    </cfRule>
    <cfRule type="cellIs" dxfId="447" priority="529" operator="greaterThan">
      <formula>0.2</formula>
    </cfRule>
  </conditionalFormatting>
  <conditionalFormatting sqref="L90">
    <cfRule type="cellIs" dxfId="446" priority="519" operator="between">
      <formula>0.2</formula>
      <formula>0.899</formula>
    </cfRule>
    <cfRule type="cellIs" dxfId="445" priority="520" operator="equal">
      <formula>0</formula>
    </cfRule>
    <cfRule type="cellIs" dxfId="444" priority="521" operator="between">
      <formula>0.01</formula>
      <formula>0.2</formula>
    </cfRule>
    <cfRule type="cellIs" dxfId="443" priority="522" operator="lessThan">
      <formula>-0.9</formula>
    </cfRule>
    <cfRule type="cellIs" dxfId="442" priority="523" operator="between">
      <formula>-0.2</formula>
      <formula>-0.9</formula>
    </cfRule>
    <cfRule type="cellIs" dxfId="441" priority="524" operator="between">
      <formula>-0.2</formula>
      <formula>-0.01</formula>
    </cfRule>
    <cfRule type="cellIs" dxfId="440" priority="525" operator="greaterThan">
      <formula>0.9</formula>
    </cfRule>
  </conditionalFormatting>
  <conditionalFormatting sqref="T219">
    <cfRule type="cellIs" dxfId="439" priority="491" operator="equal">
      <formula>0</formula>
    </cfRule>
  </conditionalFormatting>
  <conditionalFormatting sqref="K150">
    <cfRule type="cellIs" dxfId="438" priority="513" operator="lessThan">
      <formula>-1</formula>
    </cfRule>
    <cfRule type="cellIs" dxfId="437" priority="514" operator="between">
      <formula>-0.2</formula>
      <formula>-1</formula>
    </cfRule>
    <cfRule type="cellIs" dxfId="436" priority="515" operator="between">
      <formula>-0.2</formula>
      <formula>0.2</formula>
    </cfRule>
    <cfRule type="cellIs" dxfId="435" priority="516" operator="greaterThan">
      <formula>0.2</formula>
    </cfRule>
  </conditionalFormatting>
  <conditionalFormatting sqref="L150">
    <cfRule type="cellIs" dxfId="434" priority="506" operator="between">
      <formula>0.2</formula>
      <formula>0.899</formula>
    </cfRule>
    <cfRule type="cellIs" dxfId="433" priority="507" operator="equal">
      <formula>0</formula>
    </cfRule>
    <cfRule type="cellIs" dxfId="432" priority="508" operator="between">
      <formula>0.01</formula>
      <formula>0.2</formula>
    </cfRule>
    <cfRule type="cellIs" dxfId="431" priority="509" operator="lessThan">
      <formula>-0.9</formula>
    </cfRule>
    <cfRule type="cellIs" dxfId="430" priority="510" operator="between">
      <formula>-0.2</formula>
      <formula>-0.9</formula>
    </cfRule>
    <cfRule type="cellIs" dxfId="429" priority="511" operator="between">
      <formula>-0.2</formula>
      <formula>-0.01</formula>
    </cfRule>
    <cfRule type="cellIs" dxfId="428" priority="512" operator="greaterThan">
      <formula>0.9</formula>
    </cfRule>
  </conditionalFormatting>
  <conditionalFormatting sqref="T150">
    <cfRule type="cellIs" dxfId="427" priority="505" operator="equal">
      <formula>0</formula>
    </cfRule>
  </conditionalFormatting>
  <conditionalFormatting sqref="K219">
    <cfRule type="cellIs" dxfId="426" priority="500" operator="lessThan">
      <formula>-1</formula>
    </cfRule>
    <cfRule type="cellIs" dxfId="425" priority="501" operator="between">
      <formula>-0.2</formula>
      <formula>-1</formula>
    </cfRule>
    <cfRule type="cellIs" dxfId="424" priority="502" operator="between">
      <formula>-0.2</formula>
      <formula>0.2</formula>
    </cfRule>
    <cfRule type="cellIs" dxfId="423" priority="503" operator="greaterThan">
      <formula>0.2</formula>
    </cfRule>
  </conditionalFormatting>
  <conditionalFormatting sqref="L219">
    <cfRule type="cellIs" dxfId="422" priority="493" operator="between">
      <formula>0.2</formula>
      <formula>0.899</formula>
    </cfRule>
    <cfRule type="cellIs" dxfId="421" priority="494" operator="equal">
      <formula>0</formula>
    </cfRule>
    <cfRule type="cellIs" dxfId="420" priority="495" operator="between">
      <formula>0.01</formula>
      <formula>0.2</formula>
    </cfRule>
    <cfRule type="cellIs" dxfId="419" priority="496" operator="lessThan">
      <formula>-0.9</formula>
    </cfRule>
    <cfRule type="cellIs" dxfId="418" priority="497" operator="between">
      <formula>-0.2</formula>
      <formula>-0.9</formula>
    </cfRule>
    <cfRule type="cellIs" dxfId="417" priority="498" operator="between">
      <formula>-0.2</formula>
      <formula>-0.01</formula>
    </cfRule>
    <cfRule type="cellIs" dxfId="416" priority="499" operator="greaterThan">
      <formula>0.9</formula>
    </cfRule>
  </conditionalFormatting>
  <conditionalFormatting sqref="T219">
    <cfRule type="cellIs" dxfId="415" priority="492" operator="equal">
      <formula>0</formula>
    </cfRule>
  </conditionalFormatting>
  <conditionalFormatting sqref="K34">
    <cfRule type="cellIs" dxfId="414" priority="480" operator="lessThan">
      <formula>-1</formula>
    </cfRule>
    <cfRule type="cellIs" dxfId="413" priority="481" operator="between">
      <formula>-0.2</formula>
      <formula>-1</formula>
    </cfRule>
    <cfRule type="cellIs" dxfId="412" priority="482" operator="between">
      <formula>-0.2</formula>
      <formula>0.2</formula>
    </cfRule>
    <cfRule type="cellIs" dxfId="411" priority="483" operator="greaterThan">
      <formula>0.2</formula>
    </cfRule>
  </conditionalFormatting>
  <conditionalFormatting sqref="U34:V34">
    <cfRule type="cellIs" dxfId="410" priority="479" operator="equal">
      <formula>0</formula>
    </cfRule>
  </conditionalFormatting>
  <conditionalFormatting sqref="W34:X34">
    <cfRule type="cellIs" dxfId="409" priority="478" operator="equal">
      <formula>0</formula>
    </cfRule>
  </conditionalFormatting>
  <conditionalFormatting sqref="L34">
    <cfRule type="cellIs" dxfId="408" priority="471" operator="between">
      <formula>0.2</formula>
      <formula>0.899</formula>
    </cfRule>
    <cfRule type="cellIs" dxfId="407" priority="472" operator="equal">
      <formula>0</formula>
    </cfRule>
    <cfRule type="cellIs" dxfId="406" priority="473" operator="between">
      <formula>0.01</formula>
      <formula>0.2</formula>
    </cfRule>
    <cfRule type="cellIs" dxfId="405" priority="474" operator="lessThan">
      <formula>-0.9</formula>
    </cfRule>
    <cfRule type="cellIs" dxfId="404" priority="475" operator="between">
      <formula>-0.2</formula>
      <formula>-0.9</formula>
    </cfRule>
    <cfRule type="cellIs" dxfId="403" priority="476" operator="between">
      <formula>-0.2</formula>
      <formula>-0.01</formula>
    </cfRule>
    <cfRule type="cellIs" dxfId="402" priority="477" operator="greaterThan">
      <formula>0.9</formula>
    </cfRule>
  </conditionalFormatting>
  <conditionalFormatting sqref="X71">
    <cfRule type="cellIs" dxfId="401" priority="470" operator="equal">
      <formula>0</formula>
    </cfRule>
  </conditionalFormatting>
  <conditionalFormatting sqref="K96">
    <cfRule type="cellIs" dxfId="400" priority="449" operator="lessThan">
      <formula>-1</formula>
    </cfRule>
    <cfRule type="cellIs" dxfId="399" priority="450" operator="between">
      <formula>-0.2</formula>
      <formula>-1</formula>
    </cfRule>
    <cfRule type="cellIs" dxfId="398" priority="451" operator="between">
      <formula>-0.2</formula>
      <formula>0.2</formula>
    </cfRule>
    <cfRule type="cellIs" dxfId="397" priority="452" operator="greaterThan">
      <formula>0.2</formula>
    </cfRule>
  </conditionalFormatting>
  <conditionalFormatting sqref="U96:V96">
    <cfRule type="cellIs" dxfId="396" priority="461" operator="equal">
      <formula>0</formula>
    </cfRule>
  </conditionalFormatting>
  <conditionalFormatting sqref="L96">
    <cfRule type="cellIs" dxfId="395" priority="442" operator="between">
      <formula>0.2</formula>
      <formula>0.899</formula>
    </cfRule>
    <cfRule type="cellIs" dxfId="394" priority="443" operator="equal">
      <formula>0</formula>
    </cfRule>
    <cfRule type="cellIs" dxfId="393" priority="444" operator="between">
      <formula>0.01</formula>
      <formula>0.2</formula>
    </cfRule>
    <cfRule type="cellIs" dxfId="392" priority="445" operator="lessThan">
      <formula>-0.9</formula>
    </cfRule>
    <cfRule type="cellIs" dxfId="391" priority="446" operator="between">
      <formula>-0.2</formula>
      <formula>-0.9</formula>
    </cfRule>
    <cfRule type="cellIs" dxfId="390" priority="447" operator="between">
      <formula>-0.2</formula>
      <formula>-0.01</formula>
    </cfRule>
    <cfRule type="cellIs" dxfId="389" priority="448" operator="greaterThan">
      <formula>0.9</formula>
    </cfRule>
  </conditionalFormatting>
  <conditionalFormatting sqref="W96">
    <cfRule type="cellIs" dxfId="388" priority="441" operator="equal">
      <formula>0</formula>
    </cfRule>
  </conditionalFormatting>
  <conditionalFormatting sqref="X96">
    <cfRule type="cellIs" dxfId="387" priority="440" operator="equal">
      <formula>0</formula>
    </cfRule>
  </conditionalFormatting>
  <conditionalFormatting sqref="K137">
    <cfRule type="cellIs" dxfId="386" priority="436" operator="lessThan">
      <formula>-1</formula>
    </cfRule>
    <cfRule type="cellIs" dxfId="385" priority="437" operator="between">
      <formula>-0.2</formula>
      <formula>-1</formula>
    </cfRule>
    <cfRule type="cellIs" dxfId="384" priority="438" operator="between">
      <formula>-0.2</formula>
      <formula>0.2</formula>
    </cfRule>
    <cfRule type="cellIs" dxfId="383" priority="439" operator="greaterThan">
      <formula>0.2</formula>
    </cfRule>
  </conditionalFormatting>
  <conditionalFormatting sqref="L137">
    <cfRule type="cellIs" dxfId="382" priority="429" operator="between">
      <formula>0.2</formula>
      <formula>0.899</formula>
    </cfRule>
    <cfRule type="cellIs" dxfId="381" priority="430" operator="equal">
      <formula>0</formula>
    </cfRule>
    <cfRule type="cellIs" dxfId="380" priority="431" operator="between">
      <formula>0.01</formula>
      <formula>0.2</formula>
    </cfRule>
    <cfRule type="cellIs" dxfId="379" priority="432" operator="lessThan">
      <formula>-0.9</formula>
    </cfRule>
    <cfRule type="cellIs" dxfId="378" priority="433" operator="between">
      <formula>-0.2</formula>
      <formula>-0.9</formula>
    </cfRule>
    <cfRule type="cellIs" dxfId="377" priority="434" operator="between">
      <formula>-0.2</formula>
      <formula>-0.01</formula>
    </cfRule>
    <cfRule type="cellIs" dxfId="376" priority="435" operator="greaterThan">
      <formula>0.9</formula>
    </cfRule>
  </conditionalFormatting>
  <conditionalFormatting sqref="K136">
    <cfRule type="cellIs" dxfId="375" priority="425" operator="lessThan">
      <formula>-1</formula>
    </cfRule>
    <cfRule type="cellIs" dxfId="374" priority="426" operator="between">
      <formula>-0.2</formula>
      <formula>-1</formula>
    </cfRule>
    <cfRule type="cellIs" dxfId="373" priority="427" operator="between">
      <formula>-0.2</formula>
      <formula>0.2</formula>
    </cfRule>
    <cfRule type="cellIs" dxfId="372" priority="428" operator="greaterThan">
      <formula>0.2</formula>
    </cfRule>
  </conditionalFormatting>
  <conditionalFormatting sqref="L136">
    <cfRule type="cellIs" dxfId="371" priority="418" operator="between">
      <formula>0.2</formula>
      <formula>0.899</formula>
    </cfRule>
    <cfRule type="cellIs" dxfId="370" priority="419" operator="equal">
      <formula>0</formula>
    </cfRule>
    <cfRule type="cellIs" dxfId="369" priority="420" operator="between">
      <formula>0.01</formula>
      <formula>0.2</formula>
    </cfRule>
    <cfRule type="cellIs" dxfId="368" priority="421" operator="lessThan">
      <formula>-0.9</formula>
    </cfRule>
    <cfRule type="cellIs" dxfId="367" priority="422" operator="between">
      <formula>-0.2</formula>
      <formula>-0.9</formula>
    </cfRule>
    <cfRule type="cellIs" dxfId="366" priority="423" operator="between">
      <formula>-0.2</formula>
      <formula>-0.01</formula>
    </cfRule>
    <cfRule type="cellIs" dxfId="365" priority="424" operator="greaterThan">
      <formula>0.9</formula>
    </cfRule>
  </conditionalFormatting>
  <conditionalFormatting sqref="X234">
    <cfRule type="cellIs" dxfId="364" priority="417" operator="equal">
      <formula>0</formula>
    </cfRule>
  </conditionalFormatting>
  <conditionalFormatting sqref="X234">
    <cfRule type="cellIs" dxfId="363" priority="416" operator="equal">
      <formula>0</formula>
    </cfRule>
  </conditionalFormatting>
  <conditionalFormatting sqref="X235">
    <cfRule type="cellIs" dxfId="362" priority="415" operator="equal">
      <formula>0</formula>
    </cfRule>
  </conditionalFormatting>
  <conditionalFormatting sqref="X235">
    <cfRule type="cellIs" dxfId="361" priority="414" operator="equal">
      <formula>0</formula>
    </cfRule>
  </conditionalFormatting>
  <conditionalFormatting sqref="X238">
    <cfRule type="cellIs" dxfId="360" priority="408" operator="equal">
      <formula>0</formula>
    </cfRule>
  </conditionalFormatting>
  <conditionalFormatting sqref="X236">
    <cfRule type="cellIs" dxfId="359" priority="413" operator="equal">
      <formula>0</formula>
    </cfRule>
  </conditionalFormatting>
  <conditionalFormatting sqref="X236">
    <cfRule type="cellIs" dxfId="358" priority="412" operator="equal">
      <formula>0</formula>
    </cfRule>
  </conditionalFormatting>
  <conditionalFormatting sqref="X237">
    <cfRule type="cellIs" dxfId="357" priority="411" operator="equal">
      <formula>0</formula>
    </cfRule>
  </conditionalFormatting>
  <conditionalFormatting sqref="X237">
    <cfRule type="cellIs" dxfId="356" priority="410" operator="equal">
      <formula>0</formula>
    </cfRule>
  </conditionalFormatting>
  <conditionalFormatting sqref="X238">
    <cfRule type="cellIs" dxfId="355" priority="409" operator="equal">
      <formula>0</formula>
    </cfRule>
  </conditionalFormatting>
  <conditionalFormatting sqref="X253">
    <cfRule type="cellIs" dxfId="354" priority="398" operator="equal">
      <formula>0</formula>
    </cfRule>
  </conditionalFormatting>
  <conditionalFormatting sqref="X251">
    <cfRule type="cellIs" dxfId="353" priority="406" operator="equal">
      <formula>0</formula>
    </cfRule>
  </conditionalFormatting>
  <conditionalFormatting sqref="X251">
    <cfRule type="cellIs" dxfId="352" priority="407" operator="equal">
      <formula>0</formula>
    </cfRule>
  </conditionalFormatting>
  <conditionalFormatting sqref="X252">
    <cfRule type="cellIs" dxfId="351" priority="400" operator="equal">
      <formula>0</formula>
    </cfRule>
  </conditionalFormatting>
  <conditionalFormatting sqref="X252">
    <cfRule type="cellIs" dxfId="350" priority="401" operator="equal">
      <formula>0</formula>
    </cfRule>
  </conditionalFormatting>
  <conditionalFormatting sqref="X253">
    <cfRule type="cellIs" dxfId="349" priority="399" operator="equal">
      <formula>0</formula>
    </cfRule>
  </conditionalFormatting>
  <conditionalFormatting sqref="K375">
    <cfRule type="cellIs" dxfId="348" priority="394" operator="lessThan">
      <formula>-1</formula>
    </cfRule>
    <cfRule type="cellIs" dxfId="347" priority="395" operator="between">
      <formula>-0.2</formula>
      <formula>-1</formula>
    </cfRule>
    <cfRule type="cellIs" dxfId="346" priority="396" operator="between">
      <formula>-0.2</formula>
      <formula>0.2</formula>
    </cfRule>
    <cfRule type="cellIs" dxfId="345" priority="397" operator="greaterThan">
      <formula>0.2</formula>
    </cfRule>
  </conditionalFormatting>
  <conditionalFormatting sqref="K376">
    <cfRule type="cellIs" dxfId="344" priority="390" operator="lessThan">
      <formula>-1</formula>
    </cfRule>
    <cfRule type="cellIs" dxfId="343" priority="391" operator="between">
      <formula>-0.2</formula>
      <formula>-1</formula>
    </cfRule>
    <cfRule type="cellIs" dxfId="342" priority="392" operator="between">
      <formula>-0.2</formula>
      <formula>0.2</formula>
    </cfRule>
    <cfRule type="cellIs" dxfId="341" priority="393" operator="greaterThan">
      <formula>0.2</formula>
    </cfRule>
  </conditionalFormatting>
  <conditionalFormatting sqref="K377">
    <cfRule type="cellIs" dxfId="340" priority="386" operator="lessThan">
      <formula>-1</formula>
    </cfRule>
    <cfRule type="cellIs" dxfId="339" priority="387" operator="between">
      <formula>-0.2</formula>
      <formula>-1</formula>
    </cfRule>
    <cfRule type="cellIs" dxfId="338" priority="388" operator="between">
      <formula>-0.2</formula>
      <formula>0.2</formula>
    </cfRule>
    <cfRule type="cellIs" dxfId="337" priority="389" operator="greaterThan">
      <formula>0.2</formula>
    </cfRule>
  </conditionalFormatting>
  <conditionalFormatting sqref="K381">
    <cfRule type="cellIs" dxfId="336" priority="382" operator="lessThan">
      <formula>-1</formula>
    </cfRule>
    <cfRule type="cellIs" dxfId="335" priority="383" operator="between">
      <formula>-0.2</formula>
      <formula>-1</formula>
    </cfRule>
    <cfRule type="cellIs" dxfId="334" priority="384" operator="between">
      <formula>-0.2</formula>
      <formula>0.2</formula>
    </cfRule>
    <cfRule type="cellIs" dxfId="333" priority="385" operator="greaterThan">
      <formula>0.2</formula>
    </cfRule>
  </conditionalFormatting>
  <conditionalFormatting sqref="L381">
    <cfRule type="cellIs" dxfId="332" priority="375" operator="between">
      <formula>0.2</formula>
      <formula>0.899</formula>
    </cfRule>
    <cfRule type="cellIs" dxfId="331" priority="376" operator="equal">
      <formula>0</formula>
    </cfRule>
    <cfRule type="cellIs" dxfId="330" priority="377" operator="between">
      <formula>0.01</formula>
      <formula>0.2</formula>
    </cfRule>
    <cfRule type="cellIs" dxfId="329" priority="378" operator="lessThan">
      <formula>-0.9</formula>
    </cfRule>
    <cfRule type="cellIs" dxfId="328" priority="379" operator="between">
      <formula>-0.2</formula>
      <formula>-0.9</formula>
    </cfRule>
    <cfRule type="cellIs" dxfId="327" priority="380" operator="between">
      <formula>-0.2</formula>
      <formula>-0.01</formula>
    </cfRule>
    <cfRule type="cellIs" dxfId="326" priority="381" operator="greaterThan">
      <formula>0.9</formula>
    </cfRule>
  </conditionalFormatting>
  <conditionalFormatting sqref="K382">
    <cfRule type="cellIs" dxfId="325" priority="371" operator="lessThan">
      <formula>-1</formula>
    </cfRule>
    <cfRule type="cellIs" dxfId="324" priority="372" operator="between">
      <formula>-0.2</formula>
      <formula>-1</formula>
    </cfRule>
    <cfRule type="cellIs" dxfId="323" priority="373" operator="between">
      <formula>-0.2</formula>
      <formula>0.2</formula>
    </cfRule>
    <cfRule type="cellIs" dxfId="322" priority="374" operator="greaterThan">
      <formula>0.2</formula>
    </cfRule>
  </conditionalFormatting>
  <conditionalFormatting sqref="L382">
    <cfRule type="cellIs" dxfId="321" priority="364" operator="between">
      <formula>0.2</formula>
      <formula>0.899</formula>
    </cfRule>
    <cfRule type="cellIs" dxfId="320" priority="365" operator="equal">
      <formula>0</formula>
    </cfRule>
    <cfRule type="cellIs" dxfId="319" priority="366" operator="between">
      <formula>0.01</formula>
      <formula>0.2</formula>
    </cfRule>
    <cfRule type="cellIs" dxfId="318" priority="367" operator="lessThan">
      <formula>-0.9</formula>
    </cfRule>
    <cfRule type="cellIs" dxfId="317" priority="368" operator="between">
      <formula>-0.2</formula>
      <formula>-0.9</formula>
    </cfRule>
    <cfRule type="cellIs" dxfId="316" priority="369" operator="between">
      <formula>-0.2</formula>
      <formula>-0.01</formula>
    </cfRule>
    <cfRule type="cellIs" dxfId="315" priority="370" operator="greaterThan">
      <formula>0.9</formula>
    </cfRule>
  </conditionalFormatting>
  <conditionalFormatting sqref="U401">
    <cfRule type="cellIs" dxfId="314" priority="363" operator="equal">
      <formula>0</formula>
    </cfRule>
  </conditionalFormatting>
  <conditionalFormatting sqref="U402">
    <cfRule type="cellIs" dxfId="313" priority="362" operator="equal">
      <formula>0</formula>
    </cfRule>
  </conditionalFormatting>
  <conditionalFormatting sqref="K401">
    <cfRule type="cellIs" dxfId="312" priority="358" operator="lessThan">
      <formula>-1</formula>
    </cfRule>
    <cfRule type="cellIs" dxfId="311" priority="359" operator="between">
      <formula>-0.2</formula>
      <formula>-1</formula>
    </cfRule>
    <cfRule type="cellIs" dxfId="310" priority="360" operator="between">
      <formula>-0.2</formula>
      <formula>0.2</formula>
    </cfRule>
    <cfRule type="cellIs" dxfId="309" priority="361" operator="greaterThan">
      <formula>0.2</formula>
    </cfRule>
  </conditionalFormatting>
  <conditionalFormatting sqref="K402">
    <cfRule type="cellIs" dxfId="308" priority="350" operator="lessThan">
      <formula>-1</formula>
    </cfRule>
    <cfRule type="cellIs" dxfId="307" priority="351" operator="between">
      <formula>-0.2</formula>
      <formula>-1</formula>
    </cfRule>
    <cfRule type="cellIs" dxfId="306" priority="352" operator="between">
      <formula>-0.2</formula>
      <formula>0.2</formula>
    </cfRule>
    <cfRule type="cellIs" dxfId="305" priority="353" operator="greaterThan">
      <formula>0.2</formula>
    </cfRule>
  </conditionalFormatting>
  <conditionalFormatting sqref="U430">
    <cfRule type="cellIs" dxfId="304" priority="349" operator="equal">
      <formula>0</formula>
    </cfRule>
  </conditionalFormatting>
  <conditionalFormatting sqref="K445:K446">
    <cfRule type="cellIs" dxfId="303" priority="345" operator="lessThan">
      <formula>-1</formula>
    </cfRule>
    <cfRule type="cellIs" dxfId="302" priority="346" operator="between">
      <formula>-0.2</formula>
      <formula>-1</formula>
    </cfRule>
    <cfRule type="cellIs" dxfId="301" priority="347" operator="between">
      <formula>-0.2</formula>
      <formula>0.2</formula>
    </cfRule>
    <cfRule type="cellIs" dxfId="300" priority="348" operator="greaterThan">
      <formula>0.2</formula>
    </cfRule>
  </conditionalFormatting>
  <conditionalFormatting sqref="L445:L446">
    <cfRule type="cellIs" dxfId="299" priority="338" operator="between">
      <formula>0.2</formula>
      <formula>0.899</formula>
    </cfRule>
    <cfRule type="cellIs" dxfId="298" priority="339" operator="equal">
      <formula>0</formula>
    </cfRule>
    <cfRule type="cellIs" dxfId="297" priority="340" operator="between">
      <formula>0.01</formula>
      <formula>0.2</formula>
    </cfRule>
    <cfRule type="cellIs" dxfId="296" priority="341" operator="lessThan">
      <formula>-0.9</formula>
    </cfRule>
    <cfRule type="cellIs" dxfId="295" priority="342" operator="between">
      <formula>-0.2</formula>
      <formula>-0.9</formula>
    </cfRule>
    <cfRule type="cellIs" dxfId="294" priority="343" operator="between">
      <formula>-0.2</formula>
      <formula>-0.01</formula>
    </cfRule>
    <cfRule type="cellIs" dxfId="293" priority="344" operator="greaterThan">
      <formula>0.9</formula>
    </cfRule>
  </conditionalFormatting>
  <conditionalFormatting sqref="K447">
    <cfRule type="cellIs" dxfId="292" priority="334" operator="lessThan">
      <formula>-1</formula>
    </cfRule>
    <cfRule type="cellIs" dxfId="291" priority="335" operator="between">
      <formula>-0.2</formula>
      <formula>-1</formula>
    </cfRule>
    <cfRule type="cellIs" dxfId="290" priority="336" operator="between">
      <formula>-0.2</formula>
      <formula>0.2</formula>
    </cfRule>
    <cfRule type="cellIs" dxfId="289" priority="337" operator="greaterThan">
      <formula>0.2</formula>
    </cfRule>
  </conditionalFormatting>
  <conditionalFormatting sqref="L447">
    <cfRule type="cellIs" dxfId="288" priority="327" operator="between">
      <formula>0.2</formula>
      <formula>0.899</formula>
    </cfRule>
    <cfRule type="cellIs" dxfId="287" priority="328" operator="equal">
      <formula>0</formula>
    </cfRule>
    <cfRule type="cellIs" dxfId="286" priority="329" operator="between">
      <formula>0.01</formula>
      <formula>0.2</formula>
    </cfRule>
    <cfRule type="cellIs" dxfId="285" priority="330" operator="lessThan">
      <formula>-0.9</formula>
    </cfRule>
    <cfRule type="cellIs" dxfId="284" priority="331" operator="between">
      <formula>-0.2</formula>
      <formula>-0.9</formula>
    </cfRule>
    <cfRule type="cellIs" dxfId="283" priority="332" operator="between">
      <formula>-0.2</formula>
      <formula>-0.01</formula>
    </cfRule>
    <cfRule type="cellIs" dxfId="282" priority="333" operator="greaterThan">
      <formula>0.9</formula>
    </cfRule>
  </conditionalFormatting>
  <conditionalFormatting sqref="K458">
    <cfRule type="cellIs" dxfId="281" priority="323" operator="lessThan">
      <formula>-1</formula>
    </cfRule>
    <cfRule type="cellIs" dxfId="280" priority="324" operator="between">
      <formula>-0.2</formula>
      <formula>-1</formula>
    </cfRule>
    <cfRule type="cellIs" dxfId="279" priority="325" operator="between">
      <formula>-0.2</formula>
      <formula>0.2</formula>
    </cfRule>
    <cfRule type="cellIs" dxfId="278" priority="326" operator="greaterThan">
      <formula>0.2</formula>
    </cfRule>
  </conditionalFormatting>
  <conditionalFormatting sqref="L458">
    <cfRule type="cellIs" dxfId="277" priority="316" operator="between">
      <formula>0.2</formula>
      <formula>0.899</formula>
    </cfRule>
    <cfRule type="cellIs" dxfId="276" priority="317" operator="equal">
      <formula>0</formula>
    </cfRule>
    <cfRule type="cellIs" dxfId="275" priority="318" operator="between">
      <formula>0.01</formula>
      <formula>0.2</formula>
    </cfRule>
    <cfRule type="cellIs" dxfId="274" priority="319" operator="lessThan">
      <formula>-0.9</formula>
    </cfRule>
    <cfRule type="cellIs" dxfId="273" priority="320" operator="between">
      <formula>-0.2</formula>
      <formula>-0.9</formula>
    </cfRule>
    <cfRule type="cellIs" dxfId="272" priority="321" operator="between">
      <formula>-0.2</formula>
      <formula>-0.01</formula>
    </cfRule>
    <cfRule type="cellIs" dxfId="271" priority="322" operator="greaterThan">
      <formula>0.9</formula>
    </cfRule>
  </conditionalFormatting>
  <conditionalFormatting sqref="K330">
    <cfRule type="cellIs" dxfId="270" priority="312" operator="lessThan">
      <formula>-1</formula>
    </cfRule>
    <cfRule type="cellIs" dxfId="269" priority="313" operator="between">
      <formula>-0.2</formula>
      <formula>-1</formula>
    </cfRule>
    <cfRule type="cellIs" dxfId="268" priority="314" operator="between">
      <formula>-0.2</formula>
      <formula>0.2</formula>
    </cfRule>
    <cfRule type="cellIs" dxfId="267" priority="315" operator="greaterThan">
      <formula>0.2</formula>
    </cfRule>
  </conditionalFormatting>
  <conditionalFormatting sqref="W206:X206">
    <cfRule type="cellIs" dxfId="266" priority="214" operator="equal">
      <formula>0</formula>
    </cfRule>
  </conditionalFormatting>
  <conditionalFormatting sqref="V329:V330 U329:U333 V332">
    <cfRule type="cellIs" dxfId="265" priority="311" operator="equal">
      <formula>0</formula>
    </cfRule>
  </conditionalFormatting>
  <conditionalFormatting sqref="X332 W329:X331">
    <cfRule type="cellIs" dxfId="264" priority="310" operator="equal">
      <formula>0</formula>
    </cfRule>
  </conditionalFormatting>
  <conditionalFormatting sqref="X333">
    <cfRule type="cellIs" dxfId="263" priority="309" operator="equal">
      <formula>0</formula>
    </cfRule>
  </conditionalFormatting>
  <conditionalFormatting sqref="W332:W333">
    <cfRule type="cellIs" dxfId="262" priority="308" operator="equal">
      <formula>0</formula>
    </cfRule>
  </conditionalFormatting>
  <conditionalFormatting sqref="V357:V358 U357:U361 V360">
    <cfRule type="cellIs" dxfId="261" priority="307" operator="equal">
      <formula>0</formula>
    </cfRule>
  </conditionalFormatting>
  <conditionalFormatting sqref="X360 W357:X359">
    <cfRule type="cellIs" dxfId="260" priority="306" operator="equal">
      <formula>0</formula>
    </cfRule>
  </conditionalFormatting>
  <conditionalFormatting sqref="X361">
    <cfRule type="cellIs" dxfId="259" priority="305" operator="equal">
      <formula>0</formula>
    </cfRule>
  </conditionalFormatting>
  <conditionalFormatting sqref="W360:W361">
    <cfRule type="cellIs" dxfId="258" priority="304" operator="equal">
      <formula>0</formula>
    </cfRule>
  </conditionalFormatting>
  <conditionalFormatting sqref="V370:V371 U370:U374 V373">
    <cfRule type="cellIs" dxfId="257" priority="303" operator="equal">
      <formula>0</formula>
    </cfRule>
  </conditionalFormatting>
  <conditionalFormatting sqref="X373 W370:X372">
    <cfRule type="cellIs" dxfId="256" priority="302" operator="equal">
      <formula>0</formula>
    </cfRule>
  </conditionalFormatting>
  <conditionalFormatting sqref="X374">
    <cfRule type="cellIs" dxfId="255" priority="301" operator="equal">
      <formula>0</formula>
    </cfRule>
  </conditionalFormatting>
  <conditionalFormatting sqref="W373:W374">
    <cfRule type="cellIs" dxfId="254" priority="300" operator="equal">
      <formula>0</formula>
    </cfRule>
  </conditionalFormatting>
  <conditionalFormatting sqref="L358:L359">
    <cfRule type="cellIs" dxfId="253" priority="289" operator="between">
      <formula>0.2</formula>
      <formula>0.899</formula>
    </cfRule>
    <cfRule type="cellIs" dxfId="252" priority="290" operator="equal">
      <formula>0</formula>
    </cfRule>
    <cfRule type="cellIs" dxfId="251" priority="291" operator="between">
      <formula>0.01</formula>
      <formula>0.2</formula>
    </cfRule>
    <cfRule type="cellIs" dxfId="250" priority="292" operator="lessThan">
      <formula>-0.9</formula>
    </cfRule>
    <cfRule type="cellIs" dxfId="249" priority="293" operator="between">
      <formula>-0.2</formula>
      <formula>-0.9</formula>
    </cfRule>
    <cfRule type="cellIs" dxfId="248" priority="294" operator="between">
      <formula>-0.2</formula>
      <formula>-0.01</formula>
    </cfRule>
    <cfRule type="cellIs" dxfId="247" priority="295" operator="greaterThan">
      <formula>0.9</formula>
    </cfRule>
  </conditionalFormatting>
  <conditionalFormatting sqref="K359">
    <cfRule type="cellIs" dxfId="246" priority="296" operator="lessThan">
      <formula>-1</formula>
    </cfRule>
    <cfRule type="cellIs" dxfId="245" priority="297" operator="between">
      <formula>-0.2</formula>
      <formula>-1</formula>
    </cfRule>
    <cfRule type="cellIs" dxfId="244" priority="298" operator="between">
      <formula>-0.2</formula>
      <formula>0.2</formula>
    </cfRule>
    <cfRule type="cellIs" dxfId="243" priority="299" operator="greaterThan">
      <formula>0.2</formula>
    </cfRule>
  </conditionalFormatting>
  <conditionalFormatting sqref="K358">
    <cfRule type="cellIs" dxfId="242" priority="285" operator="lessThan">
      <formula>-1</formula>
    </cfRule>
    <cfRule type="cellIs" dxfId="241" priority="286" operator="between">
      <formula>-0.2</formula>
      <formula>-1</formula>
    </cfRule>
    <cfRule type="cellIs" dxfId="240" priority="287" operator="between">
      <formula>-0.2</formula>
      <formula>0.2</formula>
    </cfRule>
    <cfRule type="cellIs" dxfId="239" priority="288" operator="greaterThan">
      <formula>0.2</formula>
    </cfRule>
  </conditionalFormatting>
  <conditionalFormatting sqref="L371:L372">
    <cfRule type="cellIs" dxfId="238" priority="274" operator="between">
      <formula>0.2</formula>
      <formula>0.899</formula>
    </cfRule>
    <cfRule type="cellIs" dxfId="237" priority="275" operator="equal">
      <formula>0</formula>
    </cfRule>
    <cfRule type="cellIs" dxfId="236" priority="276" operator="between">
      <formula>0.01</formula>
      <formula>0.2</formula>
    </cfRule>
    <cfRule type="cellIs" dxfId="235" priority="277" operator="lessThan">
      <formula>-0.9</formula>
    </cfRule>
    <cfRule type="cellIs" dxfId="234" priority="278" operator="between">
      <formula>-0.2</formula>
      <formula>-0.9</formula>
    </cfRule>
    <cfRule type="cellIs" dxfId="233" priority="279" operator="between">
      <formula>-0.2</formula>
      <formula>-0.01</formula>
    </cfRule>
    <cfRule type="cellIs" dxfId="232" priority="280" operator="greaterThan">
      <formula>0.9</formula>
    </cfRule>
  </conditionalFormatting>
  <conditionalFormatting sqref="K372">
    <cfRule type="cellIs" dxfId="231" priority="281" operator="lessThan">
      <formula>-1</formula>
    </cfRule>
    <cfRule type="cellIs" dxfId="230" priority="282" operator="between">
      <formula>-0.2</formula>
      <formula>-1</formula>
    </cfRule>
    <cfRule type="cellIs" dxfId="229" priority="283" operator="between">
      <formula>-0.2</formula>
      <formula>0.2</formula>
    </cfRule>
    <cfRule type="cellIs" dxfId="228" priority="284" operator="greaterThan">
      <formula>0.2</formula>
    </cfRule>
  </conditionalFormatting>
  <conditionalFormatting sqref="K371">
    <cfRule type="cellIs" dxfId="227" priority="270" operator="lessThan">
      <formula>-1</formula>
    </cfRule>
    <cfRule type="cellIs" dxfId="226" priority="271" operator="between">
      <formula>-0.2</formula>
      <formula>-1</formula>
    </cfRule>
    <cfRule type="cellIs" dxfId="225" priority="272" operator="between">
      <formula>-0.2</formula>
      <formula>0.2</formula>
    </cfRule>
    <cfRule type="cellIs" dxfId="224" priority="273" operator="greaterThan">
      <formula>0.2</formula>
    </cfRule>
  </conditionalFormatting>
  <conditionalFormatting sqref="Y73:Y78">
    <cfRule type="cellIs" dxfId="223" priority="269" operator="equal">
      <formula>0</formula>
    </cfRule>
  </conditionalFormatting>
  <conditionalFormatting sqref="W208:W210 W207:X207">
    <cfRule type="cellIs" dxfId="222" priority="215" operator="equal">
      <formula>0</formula>
    </cfRule>
  </conditionalFormatting>
  <conditionalFormatting sqref="W140:X145">
    <cfRule type="cellIs" dxfId="221" priority="264" operator="equal">
      <formula>0</formula>
    </cfRule>
  </conditionalFormatting>
  <conditionalFormatting sqref="Y140:Y145">
    <cfRule type="cellIs" dxfId="220" priority="263" operator="equal">
      <formula>0</formula>
    </cfRule>
  </conditionalFormatting>
  <conditionalFormatting sqref="W190:X195">
    <cfRule type="cellIs" dxfId="219" priority="262" operator="equal">
      <formula>0</formula>
    </cfRule>
  </conditionalFormatting>
  <conditionalFormatting sqref="Y190:Y195">
    <cfRule type="cellIs" dxfId="218" priority="261" operator="equal">
      <formula>0</formula>
    </cfRule>
  </conditionalFormatting>
  <conditionalFormatting sqref="W228:X233">
    <cfRule type="cellIs" dxfId="217" priority="260" operator="equal">
      <formula>0</formula>
    </cfRule>
  </conditionalFormatting>
  <conditionalFormatting sqref="Y228:Y233">
    <cfRule type="cellIs" dxfId="216" priority="259" operator="equal">
      <formula>0</formula>
    </cfRule>
  </conditionalFormatting>
  <conditionalFormatting sqref="W276:X281">
    <cfRule type="cellIs" dxfId="215" priority="258" operator="equal">
      <formula>0</formula>
    </cfRule>
  </conditionalFormatting>
  <conditionalFormatting sqref="Y276:Y281">
    <cfRule type="cellIs" dxfId="214" priority="257" operator="equal">
      <formula>0</formula>
    </cfRule>
  </conditionalFormatting>
  <conditionalFormatting sqref="W403:X408">
    <cfRule type="cellIs" dxfId="213" priority="256" operator="equal">
      <formula>0</formula>
    </cfRule>
  </conditionalFormatting>
  <conditionalFormatting sqref="Y403:Y408">
    <cfRule type="cellIs" dxfId="212" priority="255" operator="equal">
      <formula>0</formula>
    </cfRule>
  </conditionalFormatting>
  <conditionalFormatting sqref="V453:V454">
    <cfRule type="cellIs" dxfId="211" priority="254" operator="equal">
      <formula>0</formula>
    </cfRule>
  </conditionalFormatting>
  <conditionalFormatting sqref="W453:X454">
    <cfRule type="cellIs" dxfId="210" priority="253" operator="equal">
      <formula>0</formula>
    </cfRule>
  </conditionalFormatting>
  <conditionalFormatting sqref="L453:L454">
    <cfRule type="cellIs" dxfId="209" priority="246" operator="between">
      <formula>0.2</formula>
      <formula>0.899</formula>
    </cfRule>
    <cfRule type="cellIs" dxfId="208" priority="247" operator="equal">
      <formula>0</formula>
    </cfRule>
    <cfRule type="cellIs" dxfId="207" priority="248" operator="between">
      <formula>0.01</formula>
      <formula>0.2</formula>
    </cfRule>
    <cfRule type="cellIs" dxfId="206" priority="249" operator="lessThan">
      <formula>-0.9</formula>
    </cfRule>
    <cfRule type="cellIs" dxfId="205" priority="250" operator="between">
      <formula>-0.2</formula>
      <formula>-0.9</formula>
    </cfRule>
    <cfRule type="cellIs" dxfId="204" priority="251" operator="between">
      <formula>-0.2</formula>
      <formula>-0.01</formula>
    </cfRule>
    <cfRule type="cellIs" dxfId="203" priority="252" operator="greaterThan">
      <formula>0.9</formula>
    </cfRule>
  </conditionalFormatting>
  <conditionalFormatting sqref="U453">
    <cfRule type="cellIs" dxfId="202" priority="245" operator="equal">
      <formula>0</formula>
    </cfRule>
  </conditionalFormatting>
  <conditionalFormatting sqref="U454">
    <cfRule type="cellIs" dxfId="201" priority="244" operator="equal">
      <formula>0</formula>
    </cfRule>
  </conditionalFormatting>
  <conditionalFormatting sqref="K453">
    <cfRule type="cellIs" dxfId="200" priority="240" operator="lessThan">
      <formula>-1</formula>
    </cfRule>
    <cfRule type="cellIs" dxfId="199" priority="241" operator="between">
      <formula>-0.2</formula>
      <formula>-1</formula>
    </cfRule>
    <cfRule type="cellIs" dxfId="198" priority="242" operator="between">
      <formula>-0.2</formula>
      <formula>0.2</formula>
    </cfRule>
    <cfRule type="cellIs" dxfId="197" priority="243" operator="greaterThan">
      <formula>0.2</formula>
    </cfRule>
  </conditionalFormatting>
  <conditionalFormatting sqref="K454">
    <cfRule type="cellIs" dxfId="196" priority="236" operator="lessThan">
      <formula>-1</formula>
    </cfRule>
    <cfRule type="cellIs" dxfId="195" priority="237" operator="between">
      <formula>-0.2</formula>
      <formula>-1</formula>
    </cfRule>
    <cfRule type="cellIs" dxfId="194" priority="238" operator="between">
      <formula>-0.2</formula>
      <formula>0.2</formula>
    </cfRule>
    <cfRule type="cellIs" dxfId="193" priority="239" operator="greaterThan">
      <formula>0.2</formula>
    </cfRule>
  </conditionalFormatting>
  <conditionalFormatting sqref="X170:X175">
    <cfRule type="cellIs" dxfId="192" priority="235" operator="equal">
      <formula>0</formula>
    </cfRule>
  </conditionalFormatting>
  <conditionalFormatting sqref="X166:X169">
    <cfRule type="cellIs" dxfId="191" priority="234" operator="equal">
      <formula>0</formula>
    </cfRule>
  </conditionalFormatting>
  <conditionalFormatting sqref="X258:X263">
    <cfRule type="cellIs" dxfId="190" priority="233" operator="equal">
      <formula>0</formula>
    </cfRule>
  </conditionalFormatting>
  <conditionalFormatting sqref="X254:X257">
    <cfRule type="cellIs" dxfId="189" priority="232" operator="equal">
      <formula>0</formula>
    </cfRule>
  </conditionalFormatting>
  <conditionalFormatting sqref="X389:X394">
    <cfRule type="cellIs" dxfId="188" priority="231" operator="equal">
      <formula>0</formula>
    </cfRule>
  </conditionalFormatting>
  <conditionalFormatting sqref="X385:X388">
    <cfRule type="cellIs" dxfId="187" priority="230" operator="equal">
      <formula>0</formula>
    </cfRule>
  </conditionalFormatting>
  <conditionalFormatting sqref="W387:W388 W399">
    <cfRule type="cellIs" dxfId="186" priority="229" operator="equal">
      <formula>0</formula>
    </cfRule>
  </conditionalFormatting>
  <conditionalFormatting sqref="W387:W388 W399">
    <cfRule type="cellIs" dxfId="185" priority="228" operator="equal">
      <formula>0</formula>
    </cfRule>
  </conditionalFormatting>
  <conditionalFormatting sqref="W395:W397">
    <cfRule type="cellIs" dxfId="184" priority="220" operator="equal">
      <formula>0</formula>
    </cfRule>
  </conditionalFormatting>
  <conditionalFormatting sqref="W389:W393">
    <cfRule type="cellIs" dxfId="183" priority="226" operator="equal">
      <formula>0</formula>
    </cfRule>
  </conditionalFormatting>
  <conditionalFormatting sqref="W385:W386">
    <cfRule type="cellIs" dxfId="182" priority="225" operator="equal">
      <formula>0</formula>
    </cfRule>
  </conditionalFormatting>
  <conditionalFormatting sqref="W398:W399">
    <cfRule type="cellIs" dxfId="181" priority="224" operator="equal">
      <formula>0</formula>
    </cfRule>
  </conditionalFormatting>
  <conditionalFormatting sqref="W394">
    <cfRule type="cellIs" dxfId="180" priority="223" operator="equal">
      <formula>0</formula>
    </cfRule>
  </conditionalFormatting>
  <conditionalFormatting sqref="W176:W178">
    <cfRule type="cellIs" dxfId="179" priority="222" operator="equal">
      <formula>0</formula>
    </cfRule>
  </conditionalFormatting>
  <conditionalFormatting sqref="W264:W266">
    <cfRule type="cellIs" dxfId="178" priority="221" operator="equal">
      <formula>0</formula>
    </cfRule>
  </conditionalFormatting>
  <conditionalFormatting sqref="X208:X210">
    <cfRule type="cellIs" dxfId="177" priority="216" operator="equal">
      <formula>0</formula>
    </cfRule>
  </conditionalFormatting>
  <conditionalFormatting sqref="U334">
    <cfRule type="cellIs" dxfId="176" priority="213" operator="equal">
      <formula>0</formula>
    </cfRule>
  </conditionalFormatting>
  <conditionalFormatting sqref="X334">
    <cfRule type="cellIs" dxfId="175" priority="212" operator="equal">
      <formula>0</formula>
    </cfRule>
  </conditionalFormatting>
  <conditionalFormatting sqref="W334">
    <cfRule type="cellIs" dxfId="174" priority="211" operator="equal">
      <formula>0</formula>
    </cfRule>
  </conditionalFormatting>
  <conditionalFormatting sqref="U335">
    <cfRule type="cellIs" dxfId="173" priority="210" operator="equal">
      <formula>0</formula>
    </cfRule>
  </conditionalFormatting>
  <conditionalFormatting sqref="X335">
    <cfRule type="cellIs" dxfId="172" priority="209" operator="equal">
      <formula>0</formula>
    </cfRule>
  </conditionalFormatting>
  <conditionalFormatting sqref="W335">
    <cfRule type="cellIs" dxfId="171" priority="208" operator="equal">
      <formula>0</formula>
    </cfRule>
  </conditionalFormatting>
  <conditionalFormatting sqref="U336">
    <cfRule type="cellIs" dxfId="170" priority="207" operator="equal">
      <formula>0</formula>
    </cfRule>
  </conditionalFormatting>
  <conditionalFormatting sqref="X336">
    <cfRule type="cellIs" dxfId="169" priority="206" operator="equal">
      <formula>0</formula>
    </cfRule>
  </conditionalFormatting>
  <conditionalFormatting sqref="W336">
    <cfRule type="cellIs" dxfId="168" priority="205" operator="equal">
      <formula>0</formula>
    </cfRule>
  </conditionalFormatting>
  <conditionalFormatting sqref="K336">
    <cfRule type="cellIs" dxfId="167" priority="193" operator="lessThan">
      <formula>-1</formula>
    </cfRule>
    <cfRule type="cellIs" dxfId="166" priority="194" operator="between">
      <formula>-0.2</formula>
      <formula>-1</formula>
    </cfRule>
    <cfRule type="cellIs" dxfId="165" priority="195" operator="between">
      <formula>-0.2</formula>
      <formula>0.2</formula>
    </cfRule>
    <cfRule type="cellIs" dxfId="164" priority="196" operator="greaterThan">
      <formula>0.2</formula>
    </cfRule>
  </conditionalFormatting>
  <conditionalFormatting sqref="K334">
    <cfRule type="cellIs" dxfId="163" priority="201" operator="lessThan">
      <formula>-1</formula>
    </cfRule>
    <cfRule type="cellIs" dxfId="162" priority="202" operator="between">
      <formula>-0.2</formula>
      <formula>-1</formula>
    </cfRule>
    <cfRule type="cellIs" dxfId="161" priority="203" operator="between">
      <formula>-0.2</formula>
      <formula>0.2</formula>
    </cfRule>
    <cfRule type="cellIs" dxfId="160" priority="204" operator="greaterThan">
      <formula>0.2</formula>
    </cfRule>
  </conditionalFormatting>
  <conditionalFormatting sqref="K335">
    <cfRule type="cellIs" dxfId="159" priority="197" operator="lessThan">
      <formula>-1</formula>
    </cfRule>
    <cfRule type="cellIs" dxfId="158" priority="198" operator="between">
      <formula>-0.2</formula>
      <formula>-1</formula>
    </cfRule>
    <cfRule type="cellIs" dxfId="157" priority="199" operator="between">
      <formula>-0.2</formula>
      <formula>0.2</formula>
    </cfRule>
    <cfRule type="cellIs" dxfId="156" priority="200" operator="greaterThan">
      <formula>0.2</formula>
    </cfRule>
  </conditionalFormatting>
  <conditionalFormatting sqref="L156">
    <cfRule type="cellIs" dxfId="155" priority="182" operator="between">
      <formula>0.2</formula>
      <formula>0.899</formula>
    </cfRule>
    <cfRule type="cellIs" dxfId="154" priority="183" operator="equal">
      <formula>0</formula>
    </cfRule>
    <cfRule type="cellIs" dxfId="153" priority="184" operator="between">
      <formula>0.01</formula>
      <formula>0.2</formula>
    </cfRule>
    <cfRule type="cellIs" dxfId="152" priority="185" operator="lessThan">
      <formula>-0.9</formula>
    </cfRule>
    <cfRule type="cellIs" dxfId="151" priority="186" operator="between">
      <formula>-0.2</formula>
      <formula>-0.9</formula>
    </cfRule>
    <cfRule type="cellIs" dxfId="150" priority="187" operator="between">
      <formula>-0.2</formula>
      <formula>-0.01</formula>
    </cfRule>
    <cfRule type="cellIs" dxfId="149" priority="188" operator="greaterThan">
      <formula>0.9</formula>
    </cfRule>
  </conditionalFormatting>
  <conditionalFormatting sqref="K241">
    <cfRule type="cellIs" dxfId="148" priority="178" operator="lessThan">
      <formula>-1</formula>
    </cfRule>
    <cfRule type="cellIs" dxfId="147" priority="179" operator="between">
      <formula>-0.2</formula>
      <formula>-1</formula>
    </cfRule>
    <cfRule type="cellIs" dxfId="146" priority="180" operator="between">
      <formula>-0.2</formula>
      <formula>0.2</formula>
    </cfRule>
    <cfRule type="cellIs" dxfId="145" priority="181" operator="greaterThan">
      <formula>0.2</formula>
    </cfRule>
  </conditionalFormatting>
  <conditionalFormatting sqref="L241">
    <cfRule type="cellIs" dxfId="144" priority="171" operator="between">
      <formula>0.2</formula>
      <formula>0.899</formula>
    </cfRule>
    <cfRule type="cellIs" dxfId="143" priority="172" operator="equal">
      <formula>0</formula>
    </cfRule>
    <cfRule type="cellIs" dxfId="142" priority="173" operator="between">
      <formula>0.01</formula>
      <formula>0.2</formula>
    </cfRule>
    <cfRule type="cellIs" dxfId="141" priority="174" operator="lessThan">
      <formula>-0.9</formula>
    </cfRule>
    <cfRule type="cellIs" dxfId="140" priority="175" operator="between">
      <formula>-0.2</formula>
      <formula>-0.9</formula>
    </cfRule>
    <cfRule type="cellIs" dxfId="139" priority="176" operator="between">
      <formula>-0.2</formula>
      <formula>-0.01</formula>
    </cfRule>
    <cfRule type="cellIs" dxfId="138" priority="177" operator="greaterThan">
      <formula>0.9</formula>
    </cfRule>
  </conditionalFormatting>
  <conditionalFormatting sqref="K294">
    <cfRule type="cellIs" dxfId="137" priority="167" operator="lessThan">
      <formula>-1</formula>
    </cfRule>
    <cfRule type="cellIs" dxfId="136" priority="168" operator="between">
      <formula>-0.2</formula>
      <formula>-1</formula>
    </cfRule>
    <cfRule type="cellIs" dxfId="135" priority="169" operator="between">
      <formula>-0.2</formula>
      <formula>0.2</formula>
    </cfRule>
    <cfRule type="cellIs" dxfId="134" priority="170" operator="greaterThan">
      <formula>0.2</formula>
    </cfRule>
  </conditionalFormatting>
  <conditionalFormatting sqref="L294">
    <cfRule type="cellIs" dxfId="133" priority="160" operator="between">
      <formula>0.2</formula>
      <formula>0.899</formula>
    </cfRule>
    <cfRule type="cellIs" dxfId="132" priority="161" operator="equal">
      <formula>0</formula>
    </cfRule>
    <cfRule type="cellIs" dxfId="131" priority="162" operator="between">
      <formula>0.01</formula>
      <formula>0.2</formula>
    </cfRule>
    <cfRule type="cellIs" dxfId="130" priority="163" operator="lessThan">
      <formula>-0.9</formula>
    </cfRule>
    <cfRule type="cellIs" dxfId="129" priority="164" operator="between">
      <formula>-0.2</formula>
      <formula>-0.9</formula>
    </cfRule>
    <cfRule type="cellIs" dxfId="128" priority="165" operator="between">
      <formula>-0.2</formula>
      <formula>-0.01</formula>
    </cfRule>
    <cfRule type="cellIs" dxfId="127" priority="166" operator="greaterThan">
      <formula>0.9</formula>
    </cfRule>
  </conditionalFormatting>
  <conditionalFormatting sqref="V157 V161:V165 X158:X160">
    <cfRule type="cellIs" dxfId="126" priority="159" operator="equal">
      <formula>0</formula>
    </cfRule>
  </conditionalFormatting>
  <conditionalFormatting sqref="W157:W165">
    <cfRule type="cellIs" dxfId="125" priority="158" operator="equal">
      <formula>0</formula>
    </cfRule>
  </conditionalFormatting>
  <conditionalFormatting sqref="X161">
    <cfRule type="cellIs" dxfId="124" priority="157" operator="equal">
      <formula>0</formula>
    </cfRule>
  </conditionalFormatting>
  <conditionalFormatting sqref="X162">
    <cfRule type="cellIs" dxfId="123" priority="156" operator="equal">
      <formula>0</formula>
    </cfRule>
  </conditionalFormatting>
  <conditionalFormatting sqref="V156">
    <cfRule type="cellIs" dxfId="122" priority="155" operator="equal">
      <formula>0</formula>
    </cfRule>
  </conditionalFormatting>
  <conditionalFormatting sqref="W156">
    <cfRule type="cellIs" dxfId="121" priority="154" operator="equal">
      <formula>0</formula>
    </cfRule>
  </conditionalFormatting>
  <conditionalFormatting sqref="X156">
    <cfRule type="cellIs" dxfId="120" priority="153" operator="equal">
      <formula>0</formula>
    </cfRule>
  </conditionalFormatting>
  <conditionalFormatting sqref="V242 V246:V250 X243:X245">
    <cfRule type="cellIs" dxfId="119" priority="152" operator="equal">
      <formula>0</formula>
    </cfRule>
  </conditionalFormatting>
  <conditionalFormatting sqref="W242:W250">
    <cfRule type="cellIs" dxfId="118" priority="151" operator="equal">
      <formula>0</formula>
    </cfRule>
  </conditionalFormatting>
  <conditionalFormatting sqref="X246">
    <cfRule type="cellIs" dxfId="117" priority="150" operator="equal">
      <formula>0</formula>
    </cfRule>
  </conditionalFormatting>
  <conditionalFormatting sqref="X247">
    <cfRule type="cellIs" dxfId="116" priority="149" operator="equal">
      <formula>0</formula>
    </cfRule>
  </conditionalFormatting>
  <conditionalFormatting sqref="V241">
    <cfRule type="cellIs" dxfId="115" priority="148" operator="equal">
      <formula>0</formula>
    </cfRule>
  </conditionalFormatting>
  <conditionalFormatting sqref="W241">
    <cfRule type="cellIs" dxfId="114" priority="147" operator="equal">
      <formula>0</formula>
    </cfRule>
  </conditionalFormatting>
  <conditionalFormatting sqref="X241">
    <cfRule type="cellIs" dxfId="113" priority="146" operator="equal">
      <formula>0</formula>
    </cfRule>
  </conditionalFormatting>
  <conditionalFormatting sqref="V295 V299:V303 X296:X298">
    <cfRule type="cellIs" dxfId="112" priority="145" operator="equal">
      <formula>0</formula>
    </cfRule>
  </conditionalFormatting>
  <conditionalFormatting sqref="W295:W303">
    <cfRule type="cellIs" dxfId="111" priority="144" operator="equal">
      <formula>0</formula>
    </cfRule>
  </conditionalFormatting>
  <conditionalFormatting sqref="X299">
    <cfRule type="cellIs" dxfId="110" priority="143" operator="equal">
      <formula>0</formula>
    </cfRule>
  </conditionalFormatting>
  <conditionalFormatting sqref="X300">
    <cfRule type="cellIs" dxfId="109" priority="142" operator="equal">
      <formula>0</formula>
    </cfRule>
  </conditionalFormatting>
  <conditionalFormatting sqref="V294">
    <cfRule type="cellIs" dxfId="108" priority="141" operator="equal">
      <formula>0</formula>
    </cfRule>
  </conditionalFormatting>
  <conditionalFormatting sqref="W294">
    <cfRule type="cellIs" dxfId="107" priority="140" operator="equal">
      <formula>0</formula>
    </cfRule>
  </conditionalFormatting>
  <conditionalFormatting sqref="X294">
    <cfRule type="cellIs" dxfId="106" priority="139" operator="equal">
      <formula>0</formula>
    </cfRule>
  </conditionalFormatting>
  <conditionalFormatting sqref="V113 X111:X113">
    <cfRule type="cellIs" dxfId="105" priority="138" operator="equal">
      <formula>0</formula>
    </cfRule>
  </conditionalFormatting>
  <conditionalFormatting sqref="X113">
    <cfRule type="cellIs" dxfId="104" priority="137" operator="equal">
      <formula>0</formula>
    </cfRule>
  </conditionalFormatting>
  <conditionalFormatting sqref="V204 X202:X204">
    <cfRule type="cellIs" dxfId="103" priority="136" operator="equal">
      <formula>0</formula>
    </cfRule>
  </conditionalFormatting>
  <conditionalFormatting sqref="X204">
    <cfRule type="cellIs" dxfId="102" priority="135" operator="equal">
      <formula>0</formula>
    </cfRule>
  </conditionalFormatting>
  <conditionalFormatting sqref="V309 X307:X309">
    <cfRule type="cellIs" dxfId="101" priority="134" operator="equal">
      <formula>0</formula>
    </cfRule>
  </conditionalFormatting>
  <conditionalFormatting sqref="X309">
    <cfRule type="cellIs" dxfId="100" priority="133" operator="equal">
      <formula>0</formula>
    </cfRule>
  </conditionalFormatting>
  <conditionalFormatting sqref="W146:X155">
    <cfRule type="cellIs" dxfId="99" priority="132" operator="equal">
      <formula>0</formula>
    </cfRule>
  </conditionalFormatting>
  <conditionalFormatting sqref="W153">
    <cfRule type="cellIs" dxfId="98" priority="131" operator="equal">
      <formula>0</formula>
    </cfRule>
  </conditionalFormatting>
  <conditionalFormatting sqref="X153">
    <cfRule type="cellIs" dxfId="97" priority="130" operator="equal">
      <formula>0</formula>
    </cfRule>
  </conditionalFormatting>
  <conditionalFormatting sqref="W153">
    <cfRule type="cellIs" dxfId="96" priority="129" operator="equal">
      <formula>0</formula>
    </cfRule>
  </conditionalFormatting>
  <conditionalFormatting sqref="X153">
    <cfRule type="cellIs" dxfId="95" priority="128" operator="equal">
      <formula>0</formula>
    </cfRule>
  </conditionalFormatting>
  <conditionalFormatting sqref="W215:X224">
    <cfRule type="cellIs" dxfId="94" priority="126" operator="equal">
      <formula>0</formula>
    </cfRule>
  </conditionalFormatting>
  <conditionalFormatting sqref="W222">
    <cfRule type="cellIs" dxfId="93" priority="125" operator="equal">
      <formula>0</formula>
    </cfRule>
  </conditionalFormatting>
  <conditionalFormatting sqref="X222">
    <cfRule type="cellIs" dxfId="92" priority="124" operator="equal">
      <formula>0</formula>
    </cfRule>
  </conditionalFormatting>
  <conditionalFormatting sqref="W222">
    <cfRule type="cellIs" dxfId="91" priority="123" operator="equal">
      <formula>0</formula>
    </cfRule>
  </conditionalFormatting>
  <conditionalFormatting sqref="X222">
    <cfRule type="cellIs" dxfId="90" priority="122" operator="equal">
      <formula>0</formula>
    </cfRule>
  </conditionalFormatting>
  <conditionalFormatting sqref="X363 V362">
    <cfRule type="cellIs" dxfId="89" priority="120" operator="equal">
      <formula>0</formula>
    </cfRule>
  </conditionalFormatting>
  <conditionalFormatting sqref="W362:X362 W363">
    <cfRule type="cellIs" dxfId="88" priority="119" operator="equal">
      <formula>0</formula>
    </cfRule>
  </conditionalFormatting>
  <conditionalFormatting sqref="W362:X362 W363">
    <cfRule type="cellIs" dxfId="87" priority="118" operator="equal">
      <formula>0</formula>
    </cfRule>
  </conditionalFormatting>
  <conditionalFormatting sqref="V151">
    <cfRule type="cellIs" dxfId="86" priority="115" operator="equal">
      <formula>0</formula>
    </cfRule>
  </conditionalFormatting>
  <conditionalFormatting sqref="V220">
    <cfRule type="cellIs" dxfId="85" priority="114" operator="equal">
      <formula>0</formula>
    </cfRule>
  </conditionalFormatting>
  <conditionalFormatting sqref="X463">
    <cfRule type="cellIs" dxfId="84" priority="109" operator="equal">
      <formula>0</formula>
    </cfRule>
  </conditionalFormatting>
  <conditionalFormatting sqref="U21:X21">
    <cfRule type="cellIs" dxfId="83" priority="104" operator="equal">
      <formula>0</formula>
    </cfRule>
  </conditionalFormatting>
  <conditionalFormatting sqref="L21">
    <cfRule type="cellIs" dxfId="82" priority="97" operator="between">
      <formula>0.2</formula>
      <formula>0.899</formula>
    </cfRule>
    <cfRule type="cellIs" dxfId="81" priority="98" operator="equal">
      <formula>0</formula>
    </cfRule>
    <cfRule type="cellIs" dxfId="80" priority="99" operator="between">
      <formula>0.01</formula>
      <formula>0.2</formula>
    </cfRule>
    <cfRule type="cellIs" dxfId="79" priority="100" operator="lessThan">
      <formula>-0.9</formula>
    </cfRule>
    <cfRule type="cellIs" dxfId="78" priority="101" operator="between">
      <formula>-0.2</formula>
      <formula>-0.9</formula>
    </cfRule>
    <cfRule type="cellIs" dxfId="77" priority="102" operator="between">
      <formula>-0.2</formula>
      <formula>-0.01</formula>
    </cfRule>
    <cfRule type="cellIs" dxfId="76" priority="103" operator="greaterThan">
      <formula>0.9</formula>
    </cfRule>
  </conditionalFormatting>
  <conditionalFormatting sqref="U28:X28">
    <cfRule type="cellIs" dxfId="75" priority="92" operator="equal">
      <formula>0</formula>
    </cfRule>
  </conditionalFormatting>
  <conditionalFormatting sqref="L28">
    <cfRule type="cellIs" dxfId="74" priority="85" operator="between">
      <formula>0.2</formula>
      <formula>0.899</formula>
    </cfRule>
    <cfRule type="cellIs" dxfId="73" priority="86" operator="equal">
      <formula>0</formula>
    </cfRule>
    <cfRule type="cellIs" dxfId="72" priority="87" operator="between">
      <formula>0.01</formula>
      <formula>0.2</formula>
    </cfRule>
    <cfRule type="cellIs" dxfId="71" priority="88" operator="lessThan">
      <formula>-0.9</formula>
    </cfRule>
    <cfRule type="cellIs" dxfId="70" priority="89" operator="between">
      <formula>-0.2</formula>
      <formula>-0.9</formula>
    </cfRule>
    <cfRule type="cellIs" dxfId="69" priority="90" operator="between">
      <formula>-0.2</formula>
      <formula>-0.01</formula>
    </cfRule>
    <cfRule type="cellIs" dxfId="68" priority="91" operator="greaterThan">
      <formula>0.9</formula>
    </cfRule>
  </conditionalFormatting>
  <conditionalFormatting sqref="U33:X33">
    <cfRule type="cellIs" dxfId="67" priority="80" operator="equal">
      <formula>0</formula>
    </cfRule>
  </conditionalFormatting>
  <conditionalFormatting sqref="L33">
    <cfRule type="cellIs" dxfId="66" priority="73" operator="between">
      <formula>0.2</formula>
      <formula>0.899</formula>
    </cfRule>
    <cfRule type="cellIs" dxfId="65" priority="74" operator="equal">
      <formula>0</formula>
    </cfRule>
    <cfRule type="cellIs" dxfId="64" priority="75" operator="between">
      <formula>0.01</formula>
      <formula>0.2</formula>
    </cfRule>
    <cfRule type="cellIs" dxfId="63" priority="76" operator="lessThan">
      <formula>-0.9</formula>
    </cfRule>
    <cfRule type="cellIs" dxfId="62" priority="77" operator="between">
      <formula>-0.2</formula>
      <formula>-0.9</formula>
    </cfRule>
    <cfRule type="cellIs" dxfId="61" priority="78" operator="between">
      <formula>-0.2</formula>
      <formula>-0.01</formula>
    </cfRule>
    <cfRule type="cellIs" dxfId="60" priority="79" operator="greaterThan">
      <formula>0.9</formula>
    </cfRule>
  </conditionalFormatting>
  <conditionalFormatting sqref="U181:X181">
    <cfRule type="cellIs" dxfId="59" priority="68" operator="equal">
      <formula>0</formula>
    </cfRule>
  </conditionalFormatting>
  <conditionalFormatting sqref="L181">
    <cfRule type="cellIs" dxfId="58" priority="61" operator="between">
      <formula>0.2</formula>
      <formula>0.899</formula>
    </cfRule>
    <cfRule type="cellIs" dxfId="57" priority="62" operator="equal">
      <formula>0</formula>
    </cfRule>
    <cfRule type="cellIs" dxfId="56" priority="63" operator="between">
      <formula>0.01</formula>
      <formula>0.2</formula>
    </cfRule>
    <cfRule type="cellIs" dxfId="55" priority="64" operator="lessThan">
      <formula>-0.9</formula>
    </cfRule>
    <cfRule type="cellIs" dxfId="54" priority="65" operator="between">
      <formula>-0.2</formula>
      <formula>-0.9</formula>
    </cfRule>
    <cfRule type="cellIs" dxfId="53" priority="66" operator="between">
      <formula>-0.2</formula>
      <formula>-0.01</formula>
    </cfRule>
    <cfRule type="cellIs" dxfId="52" priority="67" operator="greaterThan">
      <formula>0.9</formula>
    </cfRule>
  </conditionalFormatting>
  <conditionalFormatting sqref="U269:X269">
    <cfRule type="cellIs" dxfId="51" priority="56" operator="equal">
      <formula>0</formula>
    </cfRule>
  </conditionalFormatting>
  <conditionalFormatting sqref="L269">
    <cfRule type="cellIs" dxfId="50" priority="49" operator="between">
      <formula>0.2</formula>
      <formula>0.899</formula>
    </cfRule>
    <cfRule type="cellIs" dxfId="49" priority="50" operator="equal">
      <formula>0</formula>
    </cfRule>
    <cfRule type="cellIs" dxfId="48" priority="51" operator="between">
      <formula>0.01</formula>
      <formula>0.2</formula>
    </cfRule>
    <cfRule type="cellIs" dxfId="47" priority="52" operator="lessThan">
      <formula>-0.9</formula>
    </cfRule>
    <cfRule type="cellIs" dxfId="46" priority="53" operator="between">
      <formula>-0.2</formula>
      <formula>-0.9</formula>
    </cfRule>
    <cfRule type="cellIs" dxfId="45" priority="54" operator="between">
      <formula>-0.2</formula>
      <formula>-0.01</formula>
    </cfRule>
    <cfRule type="cellIs" dxfId="44" priority="55" operator="greaterThan">
      <formula>0.9</formula>
    </cfRule>
  </conditionalFormatting>
  <conditionalFormatting sqref="U400:X400">
    <cfRule type="cellIs" dxfId="43" priority="44" operator="equal">
      <formula>0</formula>
    </cfRule>
  </conditionalFormatting>
  <conditionalFormatting sqref="L400">
    <cfRule type="cellIs" dxfId="42" priority="37" operator="between">
      <formula>0.2</formula>
      <formula>0.899</formula>
    </cfRule>
    <cfRule type="cellIs" dxfId="41" priority="38" operator="equal">
      <formula>0</formula>
    </cfRule>
    <cfRule type="cellIs" dxfId="40" priority="39" operator="between">
      <formula>0.01</formula>
      <formula>0.2</formula>
    </cfRule>
    <cfRule type="cellIs" dxfId="39" priority="40" operator="lessThan">
      <formula>-0.9</formula>
    </cfRule>
    <cfRule type="cellIs" dxfId="38" priority="41" operator="between">
      <formula>-0.2</formula>
      <formula>-0.9</formula>
    </cfRule>
    <cfRule type="cellIs" dxfId="37" priority="42" operator="between">
      <formula>-0.2</formula>
      <formula>-0.01</formula>
    </cfRule>
    <cfRule type="cellIs" dxfId="36" priority="43" operator="greaterThan">
      <formula>0.9</formula>
    </cfRule>
  </conditionalFormatting>
  <conditionalFormatting sqref="K328">
    <cfRule type="cellIs" dxfId="35" priority="33" operator="lessThan">
      <formula>-1</formula>
    </cfRule>
    <cfRule type="cellIs" dxfId="34" priority="34" operator="between">
      <formula>-0.2</formula>
      <formula>-1</formula>
    </cfRule>
    <cfRule type="cellIs" dxfId="33" priority="35" operator="between">
      <formula>-0.2</formula>
      <formula>0.2</formula>
    </cfRule>
    <cfRule type="cellIs" dxfId="32" priority="36" operator="greaterThan">
      <formula>0.2</formula>
    </cfRule>
  </conditionalFormatting>
  <conditionalFormatting sqref="W328:X328 U328">
    <cfRule type="cellIs" dxfId="31" priority="32" operator="equal">
      <formula>0</formula>
    </cfRule>
  </conditionalFormatting>
  <conditionalFormatting sqref="L328">
    <cfRule type="cellIs" dxfId="30" priority="25" operator="between">
      <formula>0.2</formula>
      <formula>0.899</formula>
    </cfRule>
    <cfRule type="cellIs" dxfId="29" priority="26" operator="equal">
      <formula>0</formula>
    </cfRule>
    <cfRule type="cellIs" dxfId="28" priority="27" operator="between">
      <formula>0.01</formula>
      <formula>0.2</formula>
    </cfRule>
    <cfRule type="cellIs" dxfId="27" priority="28" operator="lessThan">
      <formula>-0.9</formula>
    </cfRule>
    <cfRule type="cellIs" dxfId="26" priority="29" operator="between">
      <formula>-0.2</formula>
      <formula>-0.9</formula>
    </cfRule>
    <cfRule type="cellIs" dxfId="25" priority="30" operator="between">
      <formula>-0.2</formula>
      <formula>-0.01</formula>
    </cfRule>
    <cfRule type="cellIs" dxfId="24" priority="31" operator="greaterThan">
      <formula>0.9</formula>
    </cfRule>
  </conditionalFormatting>
  <conditionalFormatting sqref="K354">
    <cfRule type="cellIs" dxfId="23" priority="21" operator="lessThan">
      <formula>-1</formula>
    </cfRule>
    <cfRule type="cellIs" dxfId="22" priority="22" operator="between">
      <formula>-0.2</formula>
      <formula>-1</formula>
    </cfRule>
    <cfRule type="cellIs" dxfId="21" priority="23" operator="between">
      <formula>-0.2</formula>
      <formula>0.2</formula>
    </cfRule>
    <cfRule type="cellIs" dxfId="20" priority="24" operator="greaterThan">
      <formula>0.2</formula>
    </cfRule>
  </conditionalFormatting>
  <conditionalFormatting sqref="W354:X354 U354">
    <cfRule type="cellIs" dxfId="19" priority="20" operator="equal">
      <formula>0</formula>
    </cfRule>
  </conditionalFormatting>
  <conditionalFormatting sqref="L354">
    <cfRule type="cellIs" dxfId="18" priority="13" operator="between">
      <formula>0.2</formula>
      <formula>0.899</formula>
    </cfRule>
    <cfRule type="cellIs" dxfId="17" priority="14" operator="equal">
      <formula>0</formula>
    </cfRule>
    <cfRule type="cellIs" dxfId="16" priority="15" operator="between">
      <formula>0.01</formula>
      <formula>0.2</formula>
    </cfRule>
    <cfRule type="cellIs" dxfId="15" priority="16" operator="lessThan">
      <formula>-0.9</formula>
    </cfRule>
    <cfRule type="cellIs" dxfId="14" priority="17" operator="between">
      <formula>-0.2</formula>
      <formula>-0.9</formula>
    </cfRule>
    <cfRule type="cellIs" dxfId="13" priority="18" operator="between">
      <formula>-0.2</formula>
      <formula>-0.01</formula>
    </cfRule>
    <cfRule type="cellIs" dxfId="12" priority="19" operator="greaterThan">
      <formula>0.9</formula>
    </cfRule>
  </conditionalFormatting>
  <conditionalFormatting sqref="K369">
    <cfRule type="cellIs" dxfId="11" priority="9" operator="lessThan">
      <formula>-1</formula>
    </cfRule>
    <cfRule type="cellIs" dxfId="10" priority="10" operator="between">
      <formula>-0.2</formula>
      <formula>-1</formula>
    </cfRule>
    <cfRule type="cellIs" dxfId="9" priority="11" operator="between">
      <formula>-0.2</formula>
      <formula>0.2</formula>
    </cfRule>
    <cfRule type="cellIs" dxfId="8" priority="12" operator="greaterThan">
      <formula>0.2</formula>
    </cfRule>
  </conditionalFormatting>
  <conditionalFormatting sqref="W369:X369 U369">
    <cfRule type="cellIs" dxfId="7" priority="8" operator="equal">
      <formula>0</formula>
    </cfRule>
  </conditionalFormatting>
  <conditionalFormatting sqref="L369">
    <cfRule type="cellIs" dxfId="6" priority="1" operator="between">
      <formula>0.2</formula>
      <formula>0.899</formula>
    </cfRule>
    <cfRule type="cellIs" dxfId="5" priority="2" operator="equal">
      <formula>0</formula>
    </cfRule>
    <cfRule type="cellIs" dxfId="4" priority="3" operator="between">
      <formula>0.01</formula>
      <formula>0.2</formula>
    </cfRule>
    <cfRule type="cellIs" dxfId="3" priority="4" operator="lessThan">
      <formula>-0.9</formula>
    </cfRule>
    <cfRule type="cellIs" dxfId="2" priority="5" operator="between">
      <formula>-0.2</formula>
      <formula>-0.9</formula>
    </cfRule>
    <cfRule type="cellIs" dxfId="1" priority="6" operator="between">
      <formula>-0.2</formula>
      <formula>-0.01</formula>
    </cfRule>
    <cfRule type="cellIs" dxfId="0" priority="7" operator="greaterThan">
      <formula>0.9</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P278"/>
  <sheetViews>
    <sheetView zoomScale="115" zoomScaleNormal="115" workbookViewId="0">
      <pane ySplit="3" topLeftCell="A113" activePane="bottomLeft" state="frozen"/>
      <selection pane="bottomLeft" activeCell="A139" sqref="A139"/>
    </sheetView>
  </sheetViews>
  <sheetFormatPr defaultColWidth="8.7109375" defaultRowHeight="12" outlineLevelRow="1" x14ac:dyDescent="0.2"/>
  <cols>
    <col min="1" max="1" width="52.7109375" style="31" customWidth="1"/>
    <col min="2" max="2" width="13.5703125" style="31" bestFit="1" customWidth="1"/>
    <col min="3" max="3" width="11.7109375" style="34" customWidth="1"/>
    <col min="4" max="4" width="13.42578125" style="115" customWidth="1"/>
    <col min="5" max="5" width="15" style="35" bestFit="1" customWidth="1"/>
    <col min="6" max="6" width="12.28515625" style="45" customWidth="1"/>
    <col min="7" max="8" width="11" style="45" customWidth="1"/>
    <col min="9" max="9" width="15.5703125" style="45" bestFit="1" customWidth="1"/>
    <col min="10" max="10" width="12.5703125" style="45" customWidth="1"/>
    <col min="11" max="11" width="15" style="35" bestFit="1" customWidth="1"/>
    <col min="12" max="12" width="9" style="34" bestFit="1" customWidth="1"/>
    <col min="13" max="13" width="26.5703125" style="38" customWidth="1"/>
    <col min="14" max="14" width="12.5703125" style="39" bestFit="1" customWidth="1"/>
    <col min="15" max="15" width="18.42578125" style="34" customWidth="1"/>
    <col min="16" max="16" width="80.42578125" style="34" bestFit="1" customWidth="1"/>
    <col min="17" max="16384" width="8.7109375" style="128"/>
  </cols>
  <sheetData>
    <row r="1" spans="1:16" s="126" customFormat="1" ht="13.5" thickBot="1" x14ac:dyDescent="0.25">
      <c r="A1" s="133" t="s">
        <v>408</v>
      </c>
      <c r="B1" s="133"/>
      <c r="C1" s="133"/>
      <c r="D1" s="558" t="s">
        <v>392</v>
      </c>
      <c r="E1" s="560" t="s">
        <v>395</v>
      </c>
      <c r="F1" s="113" t="s">
        <v>290</v>
      </c>
      <c r="G1" s="113"/>
      <c r="H1" s="113"/>
      <c r="I1" s="113"/>
      <c r="J1" s="113"/>
      <c r="K1" s="560" t="s">
        <v>283</v>
      </c>
      <c r="L1" s="552" t="s">
        <v>187</v>
      </c>
      <c r="M1" s="555" t="s">
        <v>230</v>
      </c>
      <c r="N1" s="552" t="s">
        <v>188</v>
      </c>
      <c r="O1" s="552" t="s">
        <v>236</v>
      </c>
      <c r="P1" s="562" t="s">
        <v>158</v>
      </c>
    </row>
    <row r="2" spans="1:16" s="126" customFormat="1" ht="45" customHeight="1" thickTop="1" thickBot="1" x14ac:dyDescent="0.3">
      <c r="A2" s="271" t="s">
        <v>416</v>
      </c>
      <c r="B2" s="156" t="s">
        <v>316</v>
      </c>
      <c r="C2" s="134" t="s">
        <v>285</v>
      </c>
      <c r="D2" s="559"/>
      <c r="E2" s="561"/>
      <c r="F2" s="112" t="s">
        <v>291</v>
      </c>
      <c r="G2" s="112" t="s">
        <v>292</v>
      </c>
      <c r="H2" s="112" t="s">
        <v>282</v>
      </c>
      <c r="I2" s="112" t="s">
        <v>293</v>
      </c>
      <c r="J2" s="112" t="s">
        <v>294</v>
      </c>
      <c r="K2" s="561"/>
      <c r="L2" s="553"/>
      <c r="M2" s="556"/>
      <c r="N2" s="553"/>
      <c r="O2" s="553"/>
      <c r="P2" s="563"/>
    </row>
    <row r="3" spans="1:16" s="127" customFormat="1" ht="15.6" customHeight="1" thickTop="1" thickBot="1" x14ac:dyDescent="0.25">
      <c r="A3" s="79" t="s">
        <v>525</v>
      </c>
      <c r="B3" s="79"/>
      <c r="C3" s="79"/>
      <c r="D3" s="114"/>
      <c r="E3" s="463" t="s">
        <v>284</v>
      </c>
      <c r="F3" s="84"/>
      <c r="G3" s="84"/>
      <c r="H3" s="78"/>
      <c r="I3" s="76"/>
      <c r="J3" s="76"/>
      <c r="K3" s="79"/>
      <c r="L3" s="76"/>
      <c r="M3" s="76"/>
      <c r="N3" s="76"/>
      <c r="O3" s="76"/>
      <c r="P3" s="77"/>
    </row>
    <row r="4" spans="1:16" ht="12.75" thickTop="1" x14ac:dyDescent="0.2">
      <c r="A4" s="30" t="s">
        <v>563</v>
      </c>
      <c r="B4" s="30">
        <v>6.1</v>
      </c>
      <c r="C4" s="31" t="s">
        <v>194</v>
      </c>
      <c r="D4" s="124">
        <f>E4</f>
        <v>0.41490443099999991</v>
      </c>
      <c r="E4" s="155">
        <f>SUM(F4:K4)</f>
        <v>0.41490443099999991</v>
      </c>
      <c r="F4" s="155">
        <v>0.90800000000000003</v>
      </c>
      <c r="G4" s="155">
        <f>0.0024407+0.0002217</f>
        <v>2.6624000000000001E-3</v>
      </c>
      <c r="H4" s="155">
        <v>0</v>
      </c>
      <c r="I4" s="155">
        <f>0.000221+0.0008104+0.00004807</f>
        <v>1.0794700000000001E-3</v>
      </c>
      <c r="J4" s="155">
        <v>-0.77036000000000004</v>
      </c>
      <c r="K4" s="155">
        <f t="shared" ref="K4:K27" si="0">IF(L4=3,SUM(F4:I4)*0.3,0)</f>
        <v>0.273522561</v>
      </c>
      <c r="L4" s="31">
        <v>3</v>
      </c>
      <c r="M4" s="32" t="s">
        <v>564</v>
      </c>
      <c r="N4" s="33"/>
      <c r="O4" s="31">
        <v>2700</v>
      </c>
      <c r="P4" s="44"/>
    </row>
    <row r="5" spans="1:16" x14ac:dyDescent="0.2">
      <c r="A5" s="30" t="s">
        <v>563</v>
      </c>
      <c r="B5" s="30">
        <v>6.1</v>
      </c>
      <c r="C5" s="31" t="s">
        <v>48</v>
      </c>
      <c r="D5" s="124">
        <f>D4*$O$4</f>
        <v>1120.2419636999998</v>
      </c>
      <c r="E5" s="155">
        <f t="shared" ref="E5:K5" si="1">E4*$O$4</f>
        <v>1120.2419636999998</v>
      </c>
      <c r="F5" s="155">
        <f t="shared" si="1"/>
        <v>2451.6</v>
      </c>
      <c r="G5" s="155">
        <f t="shared" si="1"/>
        <v>7.1884800000000002</v>
      </c>
      <c r="H5" s="155">
        <f t="shared" si="1"/>
        <v>0</v>
      </c>
      <c r="I5" s="155">
        <f t="shared" si="1"/>
        <v>2.9145690000000002</v>
      </c>
      <c r="J5" s="155">
        <f t="shared" si="1"/>
        <v>-2079.9720000000002</v>
      </c>
      <c r="K5" s="155">
        <f t="shared" si="1"/>
        <v>738.51091469999994</v>
      </c>
      <c r="L5" s="31">
        <v>3</v>
      </c>
      <c r="M5" s="32"/>
      <c r="N5" s="33"/>
      <c r="O5" s="31"/>
      <c r="P5" s="44"/>
    </row>
    <row r="6" spans="1:16" x14ac:dyDescent="0.2">
      <c r="A6" s="30" t="s">
        <v>635</v>
      </c>
      <c r="B6" s="30">
        <v>6.1</v>
      </c>
      <c r="C6" s="31" t="s">
        <v>49</v>
      </c>
      <c r="D6" s="124">
        <f t="shared" ref="D6:D83" si="2">E6</f>
        <v>3.0519903614680506</v>
      </c>
      <c r="E6" s="155">
        <f>SUM(F6:K6)/1.8</f>
        <v>3.0519903614680506</v>
      </c>
      <c r="F6" s="155">
        <f>D28/D32*F7</f>
        <v>5.2135826506424907</v>
      </c>
      <c r="G6" s="155">
        <v>0.28000000000000003</v>
      </c>
      <c r="H6" s="155">
        <f>H7</f>
        <v>0</v>
      </c>
      <c r="I6" s="551">
        <v>0</v>
      </c>
      <c r="J6" s="551"/>
      <c r="K6" s="155"/>
      <c r="L6" s="31">
        <v>3</v>
      </c>
      <c r="M6" s="32" t="s">
        <v>637</v>
      </c>
      <c r="N6" s="33">
        <v>0.12</v>
      </c>
      <c r="O6" s="31"/>
      <c r="P6" s="32" t="s">
        <v>631</v>
      </c>
    </row>
    <row r="7" spans="1:16" x14ac:dyDescent="0.2">
      <c r="A7" s="30" t="s">
        <v>636</v>
      </c>
      <c r="B7" s="30">
        <v>6.1</v>
      </c>
      <c r="C7" s="31" t="s">
        <v>49</v>
      </c>
      <c r="D7" s="124">
        <f>1.89/3</f>
        <v>0.63</v>
      </c>
      <c r="E7" s="124">
        <f>1.89/3</f>
        <v>0.63</v>
      </c>
      <c r="F7" s="155">
        <v>1.61</v>
      </c>
      <c r="G7" s="155">
        <v>0.09</v>
      </c>
      <c r="H7" s="155">
        <v>0</v>
      </c>
      <c r="I7" s="551">
        <v>-0.35</v>
      </c>
      <c r="J7" s="551"/>
      <c r="K7" s="155">
        <v>0.55000000000000004</v>
      </c>
      <c r="L7" s="31">
        <v>3</v>
      </c>
      <c r="M7" s="32" t="s">
        <v>637</v>
      </c>
      <c r="N7" s="33">
        <v>0.14499999999999999</v>
      </c>
      <c r="O7" s="31"/>
      <c r="P7" s="44" t="s">
        <v>164</v>
      </c>
    </row>
    <row r="8" spans="1:16" x14ac:dyDescent="0.2">
      <c r="A8" s="30" t="s">
        <v>630</v>
      </c>
      <c r="B8" s="30">
        <v>6.1</v>
      </c>
      <c r="C8" s="31" t="s">
        <v>49</v>
      </c>
      <c r="D8" s="124">
        <f t="shared" si="2"/>
        <v>1.9891146024221085</v>
      </c>
      <c r="E8" s="155">
        <f>SUM(F8:K8)</f>
        <v>1.9891146024221085</v>
      </c>
      <c r="F8" s="155">
        <f>700/1250*E6</f>
        <v>1.7091146024221084</v>
      </c>
      <c r="G8" s="155">
        <f>G6</f>
        <v>0.28000000000000003</v>
      </c>
      <c r="H8" s="155">
        <f>H6</f>
        <v>0</v>
      </c>
      <c r="I8" s="551">
        <v>0</v>
      </c>
      <c r="J8" s="551"/>
      <c r="K8" s="155"/>
      <c r="L8" s="31">
        <v>3</v>
      </c>
      <c r="M8" s="32" t="s">
        <v>637</v>
      </c>
      <c r="N8" s="33">
        <v>0.15</v>
      </c>
      <c r="O8" s="31"/>
      <c r="P8" s="44" t="s">
        <v>632</v>
      </c>
    </row>
    <row r="9" spans="1:16" x14ac:dyDescent="0.2">
      <c r="A9" s="30" t="s">
        <v>633</v>
      </c>
      <c r="B9" s="30">
        <v>6.1</v>
      </c>
      <c r="C9" s="31" t="s">
        <v>49</v>
      </c>
      <c r="D9" s="124">
        <v>3.26</v>
      </c>
      <c r="E9" s="155">
        <v>3.26</v>
      </c>
      <c r="F9" s="155">
        <v>0.37</v>
      </c>
      <c r="G9" s="155">
        <v>0.41</v>
      </c>
      <c r="H9" s="155">
        <v>0</v>
      </c>
      <c r="I9" s="551">
        <v>1.78</v>
      </c>
      <c r="J9" s="551"/>
      <c r="K9" s="155">
        <v>0.69</v>
      </c>
      <c r="L9" s="31">
        <v>3</v>
      </c>
      <c r="M9" s="32" t="s">
        <v>637</v>
      </c>
      <c r="N9" s="33">
        <f>70/1000</f>
        <v>7.0000000000000007E-2</v>
      </c>
      <c r="O9" s="31"/>
      <c r="P9" s="44"/>
    </row>
    <row r="10" spans="1:16" x14ac:dyDescent="0.2">
      <c r="A10" s="30" t="s">
        <v>340</v>
      </c>
      <c r="B10" s="30" t="s">
        <v>493</v>
      </c>
      <c r="C10" s="31" t="s">
        <v>299</v>
      </c>
      <c r="D10" s="124">
        <f t="shared" si="2"/>
        <v>8.09</v>
      </c>
      <c r="E10" s="155">
        <f>SUM(F10:K10)</f>
        <v>8.09</v>
      </c>
      <c r="F10" s="122">
        <v>11.93</v>
      </c>
      <c r="G10" s="122">
        <v>0.89</v>
      </c>
      <c r="H10" s="122">
        <v>0.08</v>
      </c>
      <c r="I10" s="122">
        <f>0.14+0.63+0.16</f>
        <v>0.93</v>
      </c>
      <c r="J10" s="122">
        <v>-5.74</v>
      </c>
      <c r="K10" s="155">
        <f t="shared" si="0"/>
        <v>0</v>
      </c>
      <c r="L10" s="31">
        <v>2</v>
      </c>
      <c r="M10" s="32"/>
      <c r="N10" s="33"/>
      <c r="O10" s="31"/>
      <c r="P10" s="44"/>
    </row>
    <row r="11" spans="1:16" x14ac:dyDescent="0.2">
      <c r="A11" s="30" t="s">
        <v>340</v>
      </c>
      <c r="B11" s="30" t="s">
        <v>493</v>
      </c>
      <c r="C11" s="31" t="s">
        <v>48</v>
      </c>
      <c r="D11" s="124">
        <f>E11</f>
        <v>20.225000000000001</v>
      </c>
      <c r="E11" s="155">
        <f t="shared" ref="E11:J11" si="3">E10*$O$11</f>
        <v>20.225000000000001</v>
      </c>
      <c r="F11" s="155">
        <f t="shared" si="3"/>
        <v>29.824999999999999</v>
      </c>
      <c r="G11" s="155">
        <f t="shared" si="3"/>
        <v>2.2250000000000001</v>
      </c>
      <c r="H11" s="155">
        <f t="shared" si="3"/>
        <v>0.2</v>
      </c>
      <c r="I11" s="155">
        <f t="shared" si="3"/>
        <v>2.3250000000000002</v>
      </c>
      <c r="J11" s="155">
        <f t="shared" si="3"/>
        <v>-14.350000000000001</v>
      </c>
      <c r="K11" s="155">
        <f t="shared" si="0"/>
        <v>0</v>
      </c>
      <c r="L11" s="31">
        <v>2</v>
      </c>
      <c r="M11" s="32" t="s">
        <v>209</v>
      </c>
      <c r="N11" s="33"/>
      <c r="O11" s="31">
        <v>2.5</v>
      </c>
      <c r="P11" s="44"/>
    </row>
    <row r="12" spans="1:16" x14ac:dyDescent="0.2">
      <c r="A12" s="30" t="s">
        <v>341</v>
      </c>
      <c r="B12" s="30" t="s">
        <v>493</v>
      </c>
      <c r="C12" s="31" t="s">
        <v>49</v>
      </c>
      <c r="D12" s="124">
        <f t="shared" si="2"/>
        <v>0.5056250000000001</v>
      </c>
      <c r="E12" s="155">
        <f t="shared" ref="E12:J12" si="4">E11*$N$12</f>
        <v>0.5056250000000001</v>
      </c>
      <c r="F12" s="155">
        <f t="shared" si="4"/>
        <v>0.74562499999999998</v>
      </c>
      <c r="G12" s="155">
        <f t="shared" si="4"/>
        <v>5.5625000000000008E-2</v>
      </c>
      <c r="H12" s="155">
        <f t="shared" si="4"/>
        <v>5.000000000000001E-3</v>
      </c>
      <c r="I12" s="155">
        <f t="shared" si="4"/>
        <v>5.812500000000001E-2</v>
      </c>
      <c r="J12" s="155">
        <f t="shared" si="4"/>
        <v>-0.35875000000000007</v>
      </c>
      <c r="K12" s="155">
        <f t="shared" si="0"/>
        <v>0</v>
      </c>
      <c r="L12" s="31">
        <v>2</v>
      </c>
      <c r="M12" s="32"/>
      <c r="N12" s="120">
        <v>2.5000000000000001E-2</v>
      </c>
      <c r="O12" s="31"/>
      <c r="P12" s="44"/>
    </row>
    <row r="13" spans="1:16" x14ac:dyDescent="0.2">
      <c r="A13" s="30" t="s">
        <v>654</v>
      </c>
      <c r="B13" s="30">
        <v>6.1</v>
      </c>
      <c r="C13" s="31" t="s">
        <v>48</v>
      </c>
      <c r="D13" s="124">
        <v>13.4</v>
      </c>
      <c r="E13" s="155"/>
      <c r="F13" s="155"/>
      <c r="G13" s="155"/>
      <c r="H13" s="155"/>
      <c r="I13" s="155"/>
      <c r="J13" s="155"/>
      <c r="K13" s="155"/>
      <c r="L13" s="31">
        <v>3</v>
      </c>
      <c r="M13" s="32" t="s">
        <v>655</v>
      </c>
      <c r="N13" s="120">
        <v>1</v>
      </c>
      <c r="O13" s="31"/>
      <c r="P13" s="44"/>
    </row>
    <row r="14" spans="1:16" x14ac:dyDescent="0.2">
      <c r="A14" s="30" t="s">
        <v>481</v>
      </c>
      <c r="B14" s="36" t="s">
        <v>493</v>
      </c>
      <c r="C14" s="31" t="s">
        <v>49</v>
      </c>
      <c r="D14" s="124">
        <f t="shared" si="2"/>
        <v>0.27091999999999999</v>
      </c>
      <c r="E14" s="155">
        <f t="shared" ref="E14:E26" si="5">SUM(F14:K14)</f>
        <v>0.27091999999999999</v>
      </c>
      <c r="F14" s="155">
        <v>0.15959999999999999</v>
      </c>
      <c r="G14" s="122">
        <v>4.8800000000000003E-2</v>
      </c>
      <c r="H14" s="123"/>
      <c r="I14" s="122">
        <v>0</v>
      </c>
      <c r="J14" s="122">
        <v>0</v>
      </c>
      <c r="K14" s="155">
        <f t="shared" si="0"/>
        <v>6.2519999999999992E-2</v>
      </c>
      <c r="L14" s="31">
        <v>3</v>
      </c>
      <c r="M14" s="32"/>
      <c r="N14" s="468">
        <f>1.3/1065</f>
        <v>1.2206572769953052E-3</v>
      </c>
      <c r="O14" s="31"/>
      <c r="P14" s="44"/>
    </row>
    <row r="15" spans="1:16" x14ac:dyDescent="0.2">
      <c r="A15" s="30" t="s">
        <v>612</v>
      </c>
      <c r="B15" s="36">
        <v>6.1</v>
      </c>
      <c r="C15" s="31" t="s">
        <v>49</v>
      </c>
      <c r="D15" s="124">
        <v>3.24</v>
      </c>
      <c r="E15" s="155"/>
      <c r="F15" s="155"/>
      <c r="G15" s="155"/>
      <c r="H15" s="123"/>
      <c r="I15" s="551">
        <v>-0.12</v>
      </c>
      <c r="J15" s="551"/>
      <c r="K15" s="155"/>
      <c r="L15" s="31">
        <v>3</v>
      </c>
      <c r="M15" s="32"/>
      <c r="N15" s="33">
        <f>20/1000</f>
        <v>0.02</v>
      </c>
      <c r="O15" s="31"/>
      <c r="P15" s="44"/>
    </row>
    <row r="16" spans="1:16" x14ac:dyDescent="0.2">
      <c r="A16" s="30" t="s">
        <v>612</v>
      </c>
      <c r="B16" s="36">
        <v>6.1</v>
      </c>
      <c r="C16" s="31" t="s">
        <v>194</v>
      </c>
      <c r="D16" s="128"/>
      <c r="E16" s="155"/>
      <c r="F16" s="155">
        <f>D15/(1160*N15)</f>
        <v>0.1396551724137931</v>
      </c>
      <c r="G16" s="155"/>
      <c r="H16" s="123"/>
      <c r="I16" s="551">
        <f>I15/(1160*N15)</f>
        <v>-5.1724137931034482E-3</v>
      </c>
      <c r="J16" s="551"/>
      <c r="K16" s="155"/>
      <c r="L16" s="31">
        <v>3</v>
      </c>
      <c r="M16" s="32"/>
      <c r="N16" s="33"/>
      <c r="O16" s="31"/>
      <c r="P16" s="44"/>
    </row>
    <row r="17" spans="1:16" x14ac:dyDescent="0.2">
      <c r="A17" s="30" t="s">
        <v>656</v>
      </c>
      <c r="B17" s="36">
        <v>6.1</v>
      </c>
      <c r="C17" s="31" t="s">
        <v>48</v>
      </c>
      <c r="D17" s="489">
        <v>0.37</v>
      </c>
      <c r="E17" s="155"/>
      <c r="F17" s="155"/>
      <c r="G17" s="155"/>
      <c r="H17" s="123"/>
      <c r="I17" s="479"/>
      <c r="J17" s="479"/>
      <c r="K17" s="155"/>
      <c r="L17" s="31">
        <v>3</v>
      </c>
      <c r="M17" s="32"/>
      <c r="N17" s="33">
        <f>N14</f>
        <v>1.2206572769953052E-3</v>
      </c>
      <c r="O17" s="31"/>
      <c r="P17" s="44"/>
    </row>
    <row r="18" spans="1:16" x14ac:dyDescent="0.2">
      <c r="A18" s="30" t="s">
        <v>192</v>
      </c>
      <c r="B18" s="30" t="s">
        <v>493</v>
      </c>
      <c r="C18" s="31" t="s">
        <v>49</v>
      </c>
      <c r="D18" s="124">
        <f t="shared" si="2"/>
        <v>3.9429899999999991</v>
      </c>
      <c r="E18" s="155">
        <f t="shared" si="5"/>
        <v>3.9429899999999991</v>
      </c>
      <c r="F18" s="122">
        <v>1.6379999999999999</v>
      </c>
      <c r="G18" s="122">
        <v>1.6642999999999999</v>
      </c>
      <c r="H18" s="122"/>
      <c r="I18" s="122">
        <v>0.89999999999999991</v>
      </c>
      <c r="J18" s="122">
        <v>-1.52</v>
      </c>
      <c r="K18" s="155">
        <f t="shared" si="0"/>
        <v>1.2606899999999996</v>
      </c>
      <c r="L18" s="31">
        <v>3</v>
      </c>
      <c r="M18" s="32"/>
      <c r="N18" s="33">
        <v>0.6</v>
      </c>
      <c r="O18" s="31"/>
      <c r="P18" s="44"/>
    </row>
    <row r="19" spans="1:16" x14ac:dyDescent="0.2">
      <c r="A19" s="30" t="s">
        <v>301</v>
      </c>
      <c r="B19" s="30" t="s">
        <v>493</v>
      </c>
      <c r="C19" s="31" t="s">
        <v>49</v>
      </c>
      <c r="D19" s="124">
        <f t="shared" si="2"/>
        <v>3.6711</v>
      </c>
      <c r="E19" s="155">
        <f t="shared" si="5"/>
        <v>3.6711</v>
      </c>
      <c r="F19" s="122">
        <v>2.0870000000000002</v>
      </c>
      <c r="G19" s="122">
        <v>0.12</v>
      </c>
      <c r="H19" s="122"/>
      <c r="I19" s="122">
        <f>0.01+1.41</f>
        <v>1.42</v>
      </c>
      <c r="J19" s="122">
        <v>-1.044</v>
      </c>
      <c r="K19" s="155">
        <f t="shared" si="0"/>
        <v>1.0881000000000001</v>
      </c>
      <c r="L19" s="31">
        <v>3</v>
      </c>
      <c r="M19" s="32" t="s">
        <v>302</v>
      </c>
      <c r="N19" s="468">
        <f>5.3/100</f>
        <v>5.2999999999999999E-2</v>
      </c>
      <c r="O19" s="31"/>
      <c r="P19" s="44"/>
    </row>
    <row r="20" spans="1:16" x14ac:dyDescent="0.2">
      <c r="A20" s="30" t="s">
        <v>287</v>
      </c>
      <c r="B20" s="30" t="s">
        <v>493</v>
      </c>
      <c r="C20" s="31" t="s">
        <v>48</v>
      </c>
      <c r="D20" s="124">
        <f t="shared" si="2"/>
        <v>42.048270000000002</v>
      </c>
      <c r="E20" s="155">
        <f t="shared" si="5"/>
        <v>42.048270000000002</v>
      </c>
      <c r="F20" s="155">
        <v>23.757999999999999</v>
      </c>
      <c r="G20" s="155">
        <v>4.3308999999999997</v>
      </c>
      <c r="H20" s="155">
        <f t="shared" ref="H20" si="6">H124</f>
        <v>0</v>
      </c>
      <c r="I20" s="155">
        <f>2.693+1.832+0.664+0.02</f>
        <v>5.2089999999999996</v>
      </c>
      <c r="J20" s="155">
        <v>-1.2390000000000001</v>
      </c>
      <c r="K20" s="155">
        <f t="shared" si="0"/>
        <v>9.9893699999999992</v>
      </c>
      <c r="L20" s="31">
        <v>3</v>
      </c>
      <c r="M20" s="32" t="s">
        <v>191</v>
      </c>
      <c r="N20" s="33">
        <v>1</v>
      </c>
      <c r="O20" s="31"/>
      <c r="P20" s="31"/>
    </row>
    <row r="21" spans="1:16" x14ac:dyDescent="0.2">
      <c r="A21" s="30" t="s">
        <v>558</v>
      </c>
      <c r="B21" s="30">
        <v>6.1</v>
      </c>
      <c r="C21" s="31" t="s">
        <v>48</v>
      </c>
      <c r="D21" s="124">
        <f t="shared" si="2"/>
        <v>26.987089999999998</v>
      </c>
      <c r="E21" s="155">
        <f t="shared" si="5"/>
        <v>26.987089999999998</v>
      </c>
      <c r="F21" s="155">
        <v>12.6577</v>
      </c>
      <c r="G21" s="155">
        <f>1.855+1.9576</f>
        <v>3.8125999999999998</v>
      </c>
      <c r="H21" s="155">
        <v>0</v>
      </c>
      <c r="I21" s="155">
        <f>2.6931+1.874+0.6792+0.0177</f>
        <v>5.2639999999999993</v>
      </c>
      <c r="J21" s="155">
        <v>-1.2675000000000001</v>
      </c>
      <c r="K21" s="155">
        <f t="shared" si="0"/>
        <v>6.5202900000000001</v>
      </c>
      <c r="L21" s="31">
        <v>3</v>
      </c>
      <c r="M21" s="32"/>
      <c r="N21" s="33">
        <v>1</v>
      </c>
      <c r="O21" s="31" t="s">
        <v>559</v>
      </c>
      <c r="P21" s="31"/>
    </row>
    <row r="22" spans="1:16" x14ac:dyDescent="0.2">
      <c r="A22" s="30" t="s">
        <v>628</v>
      </c>
      <c r="B22" s="30">
        <v>6.1</v>
      </c>
      <c r="C22" s="31" t="s">
        <v>49</v>
      </c>
      <c r="D22" s="124">
        <v>0.96250000000000002</v>
      </c>
      <c r="E22" s="155">
        <v>0.96250000000000002</v>
      </c>
      <c r="F22" s="155"/>
      <c r="G22" s="155"/>
      <c r="H22" s="155"/>
      <c r="I22" s="155"/>
      <c r="J22" s="155"/>
      <c r="K22" s="155"/>
      <c r="L22" s="31">
        <v>3</v>
      </c>
      <c r="M22" s="32"/>
      <c r="N22" s="33">
        <f>6.9/1000</f>
        <v>6.9000000000000008E-3</v>
      </c>
      <c r="O22" s="31"/>
      <c r="P22" s="31"/>
    </row>
    <row r="23" spans="1:16" x14ac:dyDescent="0.2">
      <c r="A23" s="30" t="s">
        <v>667</v>
      </c>
      <c r="B23" s="30">
        <v>6.1</v>
      </c>
      <c r="C23" s="31" t="s">
        <v>49</v>
      </c>
      <c r="D23" s="124">
        <f>O23*12.0648</f>
        <v>23.379582978063713</v>
      </c>
      <c r="E23" s="155"/>
      <c r="F23" s="155"/>
      <c r="G23" s="155"/>
      <c r="H23" s="155"/>
      <c r="I23" s="155"/>
      <c r="J23" s="155"/>
      <c r="K23" s="155"/>
      <c r="L23" s="34">
        <v>3</v>
      </c>
      <c r="M23" s="32" t="s">
        <v>666</v>
      </c>
      <c r="N23" s="33">
        <f>0.06/1000</f>
        <v>5.9999999999999995E-5</v>
      </c>
      <c r="O23" s="31">
        <f>(1/7.6)/0.0679</f>
        <v>1.937834276412681</v>
      </c>
      <c r="P23" s="31"/>
    </row>
    <row r="24" spans="1:16" x14ac:dyDescent="0.2">
      <c r="A24" s="30" t="s">
        <v>393</v>
      </c>
      <c r="B24" s="30" t="s">
        <v>493</v>
      </c>
      <c r="C24" s="31" t="s">
        <v>165</v>
      </c>
      <c r="D24" s="124">
        <f t="shared" si="2"/>
        <v>30.762799999999999</v>
      </c>
      <c r="E24" s="155">
        <f t="shared" si="5"/>
        <v>30.762799999999999</v>
      </c>
      <c r="F24" s="135">
        <v>17.405999999999999</v>
      </c>
      <c r="G24" s="135">
        <v>5.97</v>
      </c>
      <c r="H24" s="136"/>
      <c r="I24" s="155">
        <f>0.38+0.03+0.06+0.01</f>
        <v>0.48000000000000004</v>
      </c>
      <c r="J24" s="155">
        <v>-0.25</v>
      </c>
      <c r="K24" s="155">
        <f t="shared" si="0"/>
        <v>7.1567999999999996</v>
      </c>
      <c r="L24" s="31">
        <v>3</v>
      </c>
      <c r="M24" s="32"/>
      <c r="N24" s="33">
        <v>0.72</v>
      </c>
      <c r="O24" s="31"/>
      <c r="P24" s="31"/>
    </row>
    <row r="25" spans="1:16" x14ac:dyDescent="0.2">
      <c r="A25" s="30" t="s">
        <v>482</v>
      </c>
      <c r="B25" s="30" t="s">
        <v>493</v>
      </c>
      <c r="C25" s="31" t="s">
        <v>49</v>
      </c>
      <c r="D25" s="124">
        <f t="shared" si="2"/>
        <v>13.650099999999998</v>
      </c>
      <c r="E25" s="155">
        <f t="shared" si="5"/>
        <v>13.650099999999998</v>
      </c>
      <c r="F25" s="135">
        <v>3.5289999999999999</v>
      </c>
      <c r="G25" s="135">
        <v>2.4750000000000001</v>
      </c>
      <c r="H25" s="136"/>
      <c r="I25" s="155">
        <f>0.559+0.045+3.249+0</f>
        <v>3.8530000000000002</v>
      </c>
      <c r="J25" s="155">
        <v>0.83599999999999997</v>
      </c>
      <c r="K25" s="155">
        <f t="shared" si="0"/>
        <v>2.9570999999999996</v>
      </c>
      <c r="L25" s="31">
        <v>3</v>
      </c>
      <c r="M25" s="32" t="s">
        <v>483</v>
      </c>
      <c r="N25" s="33">
        <v>0.63</v>
      </c>
      <c r="O25" s="31"/>
      <c r="P25" s="31"/>
    </row>
    <row r="26" spans="1:16" x14ac:dyDescent="0.2">
      <c r="A26" s="30" t="s">
        <v>193</v>
      </c>
      <c r="B26" s="30" t="s">
        <v>493</v>
      </c>
      <c r="C26" s="31" t="s">
        <v>194</v>
      </c>
      <c r="D26" s="124">
        <f t="shared" ref="D26" si="7">E26</f>
        <v>0.14943805599999999</v>
      </c>
      <c r="E26" s="155">
        <f t="shared" si="5"/>
        <v>0.14943805599999999</v>
      </c>
      <c r="F26" s="135">
        <v>0.19583999999999999</v>
      </c>
      <c r="G26" s="135">
        <v>2.5000000000000001E-3</v>
      </c>
      <c r="H26" s="135">
        <v>0</v>
      </c>
      <c r="I26" s="155">
        <f>0.00001712+0.000526</f>
        <v>5.4312000000000002E-4</v>
      </c>
      <c r="J26" s="155">
        <v>-0.10911</v>
      </c>
      <c r="K26" s="155">
        <f t="shared" si="0"/>
        <v>5.9664935999999995E-2</v>
      </c>
      <c r="L26" s="31">
        <v>3</v>
      </c>
      <c r="M26" s="32" t="s">
        <v>208</v>
      </c>
      <c r="N26" s="33"/>
      <c r="O26" s="31">
        <v>7800</v>
      </c>
      <c r="P26" s="44"/>
    </row>
    <row r="27" spans="1:16" x14ac:dyDescent="0.2">
      <c r="A27" s="30" t="s">
        <v>193</v>
      </c>
      <c r="B27" s="30" t="s">
        <v>493</v>
      </c>
      <c r="C27" s="31" t="s">
        <v>48</v>
      </c>
      <c r="D27" s="124">
        <f t="shared" ref="D27:J27" si="8">D26*7800</f>
        <v>1165.6168367999999</v>
      </c>
      <c r="E27" s="155">
        <f t="shared" si="8"/>
        <v>1165.6168367999999</v>
      </c>
      <c r="F27" s="155">
        <f t="shared" si="8"/>
        <v>1527.5519999999999</v>
      </c>
      <c r="G27" s="155">
        <f t="shared" si="8"/>
        <v>19.5</v>
      </c>
      <c r="H27" s="155">
        <f t="shared" si="8"/>
        <v>0</v>
      </c>
      <c r="I27" s="155">
        <f t="shared" si="8"/>
        <v>4.2363360000000005</v>
      </c>
      <c r="J27" s="155">
        <f t="shared" si="8"/>
        <v>-851.05799999999999</v>
      </c>
      <c r="K27" s="155">
        <f t="shared" si="0"/>
        <v>465.38650079999991</v>
      </c>
      <c r="L27" s="31">
        <v>3</v>
      </c>
      <c r="M27" s="32"/>
      <c r="N27" s="33">
        <v>1</v>
      </c>
      <c r="O27" s="157"/>
      <c r="P27" s="44"/>
    </row>
    <row r="28" spans="1:16" ht="14.1" customHeight="1" x14ac:dyDescent="0.2">
      <c r="A28" s="30" t="s">
        <v>484</v>
      </c>
      <c r="B28" s="30" t="s">
        <v>493</v>
      </c>
      <c r="C28" s="31" t="s">
        <v>211</v>
      </c>
      <c r="D28" s="124">
        <f>1/0.06*D29</f>
        <v>64.891833333333324</v>
      </c>
      <c r="E28" s="155">
        <f t="shared" ref="E28:K28" si="9">1/0.06*E29</f>
        <v>64.891833333333324</v>
      </c>
      <c r="F28" s="155">
        <f t="shared" si="9"/>
        <v>71.833333333333329</v>
      </c>
      <c r="G28" s="155">
        <f t="shared" si="9"/>
        <v>5.833333333333333</v>
      </c>
      <c r="H28" s="155">
        <f t="shared" si="9"/>
        <v>0</v>
      </c>
      <c r="I28" s="155">
        <f t="shared" si="9"/>
        <v>5.7116666666666669</v>
      </c>
      <c r="J28" s="155">
        <f t="shared" si="9"/>
        <v>-43.5</v>
      </c>
      <c r="K28" s="155">
        <f t="shared" si="9"/>
        <v>25.013499999999997</v>
      </c>
      <c r="L28" s="31">
        <v>3</v>
      </c>
      <c r="M28" s="83" t="s">
        <v>277</v>
      </c>
      <c r="N28" s="33">
        <v>1</v>
      </c>
      <c r="O28" s="31">
        <v>1040</v>
      </c>
      <c r="P28" s="44"/>
    </row>
    <row r="29" spans="1:16" x14ac:dyDescent="0.2">
      <c r="A29" s="30" t="s">
        <v>484</v>
      </c>
      <c r="B29" s="30" t="s">
        <v>493</v>
      </c>
      <c r="C29" s="31" t="s">
        <v>49</v>
      </c>
      <c r="D29" s="124">
        <f t="shared" si="2"/>
        <v>3.8935099999999991</v>
      </c>
      <c r="E29" s="155">
        <f>SUM(F29:K29)</f>
        <v>3.8935099999999991</v>
      </c>
      <c r="F29" s="155">
        <v>4.3099999999999996</v>
      </c>
      <c r="G29" s="155">
        <v>0.35</v>
      </c>
      <c r="H29" s="155">
        <v>0</v>
      </c>
      <c r="I29" s="155">
        <f>0.0037+0.3164+0.0226</f>
        <v>0.3427</v>
      </c>
      <c r="J29" s="155">
        <v>-2.61</v>
      </c>
      <c r="K29" s="155">
        <f>IF(L29=3,SUM(F29:I29)*0.3,0)</f>
        <v>1.5008099999999998</v>
      </c>
      <c r="L29" s="31">
        <v>3</v>
      </c>
      <c r="M29" s="32" t="s">
        <v>488</v>
      </c>
      <c r="N29" s="33">
        <v>0.06</v>
      </c>
      <c r="O29" s="31">
        <f>1*1*0.15</f>
        <v>0.15</v>
      </c>
      <c r="P29" s="44"/>
    </row>
    <row r="30" spans="1:16" x14ac:dyDescent="0.2">
      <c r="A30" s="30" t="s">
        <v>484</v>
      </c>
      <c r="B30" s="30" t="s">
        <v>493</v>
      </c>
      <c r="C30" s="31" t="s">
        <v>49</v>
      </c>
      <c r="D30" s="124">
        <f t="shared" ref="D30:K30" si="10">D29</f>
        <v>3.8935099999999991</v>
      </c>
      <c r="E30" s="155">
        <f t="shared" si="10"/>
        <v>3.8935099999999991</v>
      </c>
      <c r="F30" s="155">
        <f t="shared" si="10"/>
        <v>4.3099999999999996</v>
      </c>
      <c r="G30" s="155">
        <f t="shared" si="10"/>
        <v>0.35</v>
      </c>
      <c r="H30" s="155">
        <f t="shared" si="10"/>
        <v>0</v>
      </c>
      <c r="I30" s="155">
        <f t="shared" si="10"/>
        <v>0.3427</v>
      </c>
      <c r="J30" s="155">
        <f t="shared" si="10"/>
        <v>-2.61</v>
      </c>
      <c r="K30" s="155">
        <f t="shared" si="10"/>
        <v>1.5008099999999998</v>
      </c>
      <c r="L30" s="31">
        <v>3</v>
      </c>
      <c r="M30" s="32" t="s">
        <v>488</v>
      </c>
      <c r="N30" s="33">
        <v>0.06</v>
      </c>
      <c r="O30" s="31"/>
      <c r="P30" s="44"/>
    </row>
    <row r="31" spans="1:16" x14ac:dyDescent="0.2">
      <c r="A31" s="30" t="s">
        <v>317</v>
      </c>
      <c r="B31" s="30" t="s">
        <v>493</v>
      </c>
      <c r="C31" s="31" t="s">
        <v>165</v>
      </c>
      <c r="D31" s="124">
        <f t="shared" si="2"/>
        <v>11.059239999999999</v>
      </c>
      <c r="E31" s="155">
        <f>SUM(F31:K31)</f>
        <v>11.059239999999999</v>
      </c>
      <c r="F31" s="155">
        <v>6.18</v>
      </c>
      <c r="G31" s="155">
        <v>1.92</v>
      </c>
      <c r="H31" s="155">
        <v>0</v>
      </c>
      <c r="I31" s="155">
        <f>0.26+0.29+0.16+0.0048</f>
        <v>0.7148000000000001</v>
      </c>
      <c r="J31" s="155">
        <v>-0.4</v>
      </c>
      <c r="K31" s="155">
        <f t="shared" ref="K31:K45" si="11">IF(L31=3,SUM(F31:I31)*0.3,0)</f>
        <v>2.6444399999999999</v>
      </c>
      <c r="L31" s="31">
        <v>3</v>
      </c>
      <c r="M31" s="32" t="s">
        <v>280</v>
      </c>
      <c r="N31" s="33">
        <v>0.245</v>
      </c>
      <c r="O31" s="31"/>
      <c r="P31" s="44"/>
    </row>
    <row r="32" spans="1:16" x14ac:dyDescent="0.2">
      <c r="A32" s="30" t="s">
        <v>485</v>
      </c>
      <c r="B32" s="30">
        <v>6.1</v>
      </c>
      <c r="C32" s="31" t="s">
        <v>48</v>
      </c>
      <c r="D32" s="124">
        <f>1/N33*D33</f>
        <v>20.03916666666667</v>
      </c>
      <c r="E32" s="155"/>
      <c r="F32" s="155"/>
      <c r="G32" s="155"/>
      <c r="H32" s="155"/>
      <c r="I32" s="155"/>
      <c r="J32" s="155"/>
      <c r="K32" s="155"/>
      <c r="L32" s="31"/>
      <c r="M32" s="32"/>
      <c r="N32" s="33"/>
      <c r="O32" s="31"/>
      <c r="P32" s="44"/>
    </row>
    <row r="33" spans="1:16" x14ac:dyDescent="0.2">
      <c r="A33" s="30" t="s">
        <v>485</v>
      </c>
      <c r="B33" s="30" t="s">
        <v>493</v>
      </c>
      <c r="C33" s="31" t="s">
        <v>49</v>
      </c>
      <c r="D33" s="124">
        <f t="shared" si="2"/>
        <v>1.20235</v>
      </c>
      <c r="E33" s="155">
        <f>SUM(F33:K33)</f>
        <v>1.20235</v>
      </c>
      <c r="F33" s="155">
        <v>1.19</v>
      </c>
      <c r="G33" s="155">
        <v>0.12</v>
      </c>
      <c r="H33" s="155">
        <v>0</v>
      </c>
      <c r="I33" s="155">
        <f>0.074+0.1265+0.009</f>
        <v>0.20950000000000002</v>
      </c>
      <c r="J33" s="155">
        <v>-0.77300000000000002</v>
      </c>
      <c r="K33" s="155">
        <f t="shared" si="11"/>
        <v>0.45584999999999998</v>
      </c>
      <c r="L33" s="31">
        <v>3</v>
      </c>
      <c r="M33" s="32" t="s">
        <v>488</v>
      </c>
      <c r="N33" s="33">
        <v>0.06</v>
      </c>
      <c r="O33" s="31"/>
      <c r="P33" s="44"/>
    </row>
    <row r="34" spans="1:16" x14ac:dyDescent="0.2">
      <c r="A34" s="30" t="s">
        <v>486</v>
      </c>
      <c r="B34" s="30" t="s">
        <v>493</v>
      </c>
      <c r="C34" s="31" t="s">
        <v>49</v>
      </c>
      <c r="D34" s="124">
        <f t="shared" ref="D34:D36" si="12">E34</f>
        <v>17.038999999999998</v>
      </c>
      <c r="E34" s="155">
        <f>SUM(F34:K34)</f>
        <v>17.038999999999998</v>
      </c>
      <c r="F34" s="155">
        <v>0.45</v>
      </c>
      <c r="G34" s="155">
        <v>10.67</v>
      </c>
      <c r="H34" s="155">
        <v>0</v>
      </c>
      <c r="I34" s="155">
        <f>2.13+0.03+0.05</f>
        <v>2.2099999999999995</v>
      </c>
      <c r="J34" s="155">
        <v>-0.28999999999999998</v>
      </c>
      <c r="K34" s="155">
        <f t="shared" si="11"/>
        <v>3.9989999999999992</v>
      </c>
      <c r="L34" s="31">
        <v>3</v>
      </c>
      <c r="M34" s="32" t="s">
        <v>489</v>
      </c>
      <c r="N34" s="33">
        <v>0.15</v>
      </c>
      <c r="O34" s="31"/>
      <c r="P34" s="44"/>
    </row>
    <row r="35" spans="1:16" x14ac:dyDescent="0.2">
      <c r="A35" s="30" t="s">
        <v>487</v>
      </c>
      <c r="B35" s="30" t="s">
        <v>493</v>
      </c>
      <c r="C35" s="31" t="s">
        <v>49</v>
      </c>
      <c r="D35" s="124">
        <f t="shared" si="12"/>
        <v>18.192399999999999</v>
      </c>
      <c r="E35" s="155">
        <f>SUM(F35:K35)</f>
        <v>18.192399999999999</v>
      </c>
      <c r="F35" s="155">
        <v>1.66</v>
      </c>
      <c r="G35" s="155">
        <v>10.76</v>
      </c>
      <c r="H35" s="155">
        <v>0</v>
      </c>
      <c r="I35" s="155">
        <f>2.13+0.07+0.12+0.008</f>
        <v>2.3279999999999998</v>
      </c>
      <c r="J35" s="155">
        <v>-0.98</v>
      </c>
      <c r="K35" s="155">
        <f t="shared" si="11"/>
        <v>4.4243999999999994</v>
      </c>
      <c r="L35" s="31">
        <v>3</v>
      </c>
      <c r="M35" s="32" t="s">
        <v>489</v>
      </c>
      <c r="N35" s="33">
        <v>0.15</v>
      </c>
      <c r="O35" s="31"/>
      <c r="P35" s="44"/>
    </row>
    <row r="36" spans="1:16" x14ac:dyDescent="0.2">
      <c r="A36" s="30" t="s">
        <v>544</v>
      </c>
      <c r="B36" s="30" t="s">
        <v>493</v>
      </c>
      <c r="C36" s="31" t="s">
        <v>49</v>
      </c>
      <c r="D36" s="124">
        <f t="shared" si="12"/>
        <v>26.418166410000001</v>
      </c>
      <c r="E36" s="155">
        <f>SUM(F36:K36)</f>
        <v>26.418166410000001</v>
      </c>
      <c r="F36" s="155">
        <v>3.919</v>
      </c>
      <c r="G36" s="155">
        <v>10.818</v>
      </c>
      <c r="H36" s="155">
        <v>0</v>
      </c>
      <c r="I36" s="155">
        <f>2.1254157+0.04982+3.24+0.0002</f>
        <v>5.4154357000000006</v>
      </c>
      <c r="J36" s="155">
        <v>0.22</v>
      </c>
      <c r="K36" s="155">
        <f t="shared" si="11"/>
        <v>6.04573071</v>
      </c>
      <c r="L36" s="31">
        <v>3</v>
      </c>
      <c r="M36" s="32" t="s">
        <v>489</v>
      </c>
      <c r="N36" s="33">
        <v>0.15</v>
      </c>
      <c r="O36" s="31"/>
      <c r="P36" s="44"/>
    </row>
    <row r="37" spans="1:16" x14ac:dyDescent="0.2">
      <c r="A37" s="30" t="s">
        <v>545</v>
      </c>
      <c r="B37" s="30" t="s">
        <v>493</v>
      </c>
      <c r="C37" s="31" t="s">
        <v>49</v>
      </c>
      <c r="D37" s="124">
        <f t="shared" ref="D37:J37" si="13">$N$37/$N$38*D38</f>
        <v>98.424999999999997</v>
      </c>
      <c r="E37" s="155">
        <f t="shared" si="13"/>
        <v>98.424999999999997</v>
      </c>
      <c r="F37" s="155">
        <f t="shared" si="13"/>
        <v>46.571428571428562</v>
      </c>
      <c r="G37" s="155">
        <f t="shared" si="13"/>
        <v>6.1428571428571423</v>
      </c>
      <c r="H37" s="155">
        <f t="shared" si="13"/>
        <v>0</v>
      </c>
      <c r="I37" s="155">
        <f t="shared" si="13"/>
        <v>33.107142857142854</v>
      </c>
      <c r="J37" s="155">
        <f t="shared" si="13"/>
        <v>-13.142857142857142</v>
      </c>
      <c r="K37" s="155">
        <f t="shared" si="11"/>
        <v>25.746428571428567</v>
      </c>
      <c r="L37" s="31">
        <v>3</v>
      </c>
      <c r="M37" s="32" t="s">
        <v>489</v>
      </c>
      <c r="N37" s="33">
        <v>0.15</v>
      </c>
      <c r="O37" s="31"/>
      <c r="P37" s="44"/>
    </row>
    <row r="38" spans="1:16" x14ac:dyDescent="0.2">
      <c r="A38" s="30" t="s">
        <v>514</v>
      </c>
      <c r="B38" s="30" t="s">
        <v>493</v>
      </c>
      <c r="C38" s="31" t="s">
        <v>49</v>
      </c>
      <c r="D38" s="124">
        <f t="shared" si="2"/>
        <v>13.779500000000001</v>
      </c>
      <c r="E38" s="155">
        <f>SUM(F38:K38)</f>
        <v>13.779500000000001</v>
      </c>
      <c r="F38" s="155">
        <v>6.52</v>
      </c>
      <c r="G38" s="155">
        <v>0.86</v>
      </c>
      <c r="H38" s="155"/>
      <c r="I38" s="155">
        <f>0.67+0.035+3.93</f>
        <v>4.6349999999999998</v>
      </c>
      <c r="J38" s="155">
        <v>-1.84</v>
      </c>
      <c r="K38" s="155">
        <f t="shared" si="11"/>
        <v>3.6044999999999998</v>
      </c>
      <c r="L38" s="31">
        <v>3</v>
      </c>
      <c r="M38" s="32" t="s">
        <v>490</v>
      </c>
      <c r="N38" s="33">
        <f>21/1000</f>
        <v>2.1000000000000001E-2</v>
      </c>
      <c r="O38" s="31"/>
      <c r="P38" s="44"/>
    </row>
    <row r="39" spans="1:16" x14ac:dyDescent="0.2">
      <c r="A39" s="30" t="s">
        <v>491</v>
      </c>
      <c r="B39" s="30" t="s">
        <v>493</v>
      </c>
      <c r="C39" s="31" t="s">
        <v>49</v>
      </c>
      <c r="D39" s="124">
        <f t="shared" si="2"/>
        <v>35.948</v>
      </c>
      <c r="E39" s="155">
        <f>SUM(F39:K39)</f>
        <v>35.948</v>
      </c>
      <c r="F39" s="122">
        <v>15.78</v>
      </c>
      <c r="G39" s="122">
        <v>1.24</v>
      </c>
      <c r="H39" s="122"/>
      <c r="I39" s="122">
        <f>0.42+0.02</f>
        <v>0.44</v>
      </c>
      <c r="J39" s="122">
        <v>13.25</v>
      </c>
      <c r="K39" s="155">
        <f t="shared" si="11"/>
        <v>5.2380000000000004</v>
      </c>
      <c r="L39" s="31">
        <v>3</v>
      </c>
      <c r="M39" s="32" t="s">
        <v>190</v>
      </c>
      <c r="N39" s="33">
        <f>0.136/7.8</f>
        <v>1.7435897435897438E-2</v>
      </c>
      <c r="O39" s="31"/>
      <c r="P39" s="44"/>
    </row>
    <row r="40" spans="1:16" x14ac:dyDescent="0.2">
      <c r="A40" s="30" t="s">
        <v>492</v>
      </c>
      <c r="B40" s="30" t="s">
        <v>493</v>
      </c>
      <c r="C40" s="31" t="s">
        <v>49</v>
      </c>
      <c r="D40" s="124">
        <f t="shared" si="2"/>
        <v>1.3750000000000002</v>
      </c>
      <c r="E40" s="155">
        <f>SUM(F40:K40)</f>
        <v>1.3750000000000002</v>
      </c>
      <c r="F40" s="155">
        <v>1.458</v>
      </c>
      <c r="G40" s="155">
        <v>0.36399999999999999</v>
      </c>
      <c r="H40" s="155"/>
      <c r="I40" s="155">
        <f>0.14+0.03+0.05</f>
        <v>0.22000000000000003</v>
      </c>
      <c r="J40" s="155">
        <v>-0.66700000000000004</v>
      </c>
      <c r="K40" s="155">
        <f t="shared" si="11"/>
        <v>0</v>
      </c>
      <c r="L40" s="31">
        <v>1</v>
      </c>
      <c r="M40" s="32" t="s">
        <v>298</v>
      </c>
      <c r="N40" s="33">
        <v>0.05</v>
      </c>
      <c r="O40" s="31"/>
      <c r="P40" s="44"/>
    </row>
    <row r="41" spans="1:16" x14ac:dyDescent="0.2">
      <c r="A41" s="30" t="s">
        <v>513</v>
      </c>
      <c r="B41" s="30" t="s">
        <v>493</v>
      </c>
      <c r="C41" s="31" t="s">
        <v>49</v>
      </c>
      <c r="D41" s="124">
        <f t="shared" si="2"/>
        <v>3.8380814999999999</v>
      </c>
      <c r="E41" s="155">
        <f>SUM(F41:J41)*0.85</f>
        <v>3.8380814999999999</v>
      </c>
      <c r="F41" s="155">
        <v>2.64</v>
      </c>
      <c r="G41" s="155">
        <v>0.37459999999999999</v>
      </c>
      <c r="H41" s="155">
        <v>0</v>
      </c>
      <c r="I41" s="155">
        <f>0.22179+0.0827+1.368+0.0083</f>
        <v>1.68079</v>
      </c>
      <c r="J41" s="155">
        <v>-0.18</v>
      </c>
      <c r="K41" s="155">
        <f t="shared" si="11"/>
        <v>0</v>
      </c>
      <c r="L41" s="31">
        <v>1</v>
      </c>
      <c r="M41" s="32" t="s">
        <v>494</v>
      </c>
      <c r="N41" s="120">
        <v>8.0000000000000002E-3</v>
      </c>
      <c r="O41" s="31">
        <v>0.85</v>
      </c>
      <c r="P41" s="464" t="s">
        <v>495</v>
      </c>
    </row>
    <row r="42" spans="1:16" x14ac:dyDescent="0.2">
      <c r="A42" s="30" t="s">
        <v>652</v>
      </c>
      <c r="B42" s="30" t="s">
        <v>493</v>
      </c>
      <c r="C42" s="31" t="s">
        <v>49</v>
      </c>
      <c r="D42" s="124">
        <f t="shared" si="2"/>
        <v>5.2499199999999995</v>
      </c>
      <c r="E42" s="155">
        <f>SUM(F42:J42)</f>
        <v>5.2499199999999995</v>
      </c>
      <c r="F42" s="155">
        <v>1.2090000000000001</v>
      </c>
      <c r="G42" s="155">
        <v>0.94499999999999995</v>
      </c>
      <c r="H42" s="155">
        <v>0</v>
      </c>
      <c r="I42" s="155">
        <f>0.4211+0.02147+0.8155+0.01185</f>
        <v>1.2699199999999999</v>
      </c>
      <c r="J42" s="155">
        <v>1.8260000000000001</v>
      </c>
      <c r="K42" s="155">
        <f t="shared" si="11"/>
        <v>0</v>
      </c>
      <c r="L42" s="31">
        <v>1</v>
      </c>
      <c r="M42" s="32" t="s">
        <v>532</v>
      </c>
      <c r="N42" s="120">
        <v>8.0000000000000002E-3</v>
      </c>
      <c r="O42" s="31"/>
      <c r="P42" s="464"/>
    </row>
    <row r="43" spans="1:16" x14ac:dyDescent="0.2">
      <c r="A43" s="30" t="s">
        <v>534</v>
      </c>
      <c r="B43" s="30" t="s">
        <v>493</v>
      </c>
      <c r="C43" s="31" t="s">
        <v>49</v>
      </c>
      <c r="D43" s="124">
        <f t="shared" si="2"/>
        <v>5.0081199999999999</v>
      </c>
      <c r="E43" s="155">
        <f>SUM(F43:J43)</f>
        <v>5.0081199999999999</v>
      </c>
      <c r="F43" s="155">
        <f>F42*0.8</f>
        <v>0.96720000000000006</v>
      </c>
      <c r="G43" s="155">
        <f>G42</f>
        <v>0.94499999999999995</v>
      </c>
      <c r="H43" s="155">
        <f>H42</f>
        <v>0</v>
      </c>
      <c r="I43" s="155">
        <f>I42</f>
        <v>1.2699199999999999</v>
      </c>
      <c r="J43" s="155">
        <f>J42</f>
        <v>1.8260000000000001</v>
      </c>
      <c r="K43" s="155">
        <f t="shared" si="11"/>
        <v>0.95463599999999993</v>
      </c>
      <c r="L43" s="31">
        <v>3</v>
      </c>
      <c r="M43" s="32" t="s">
        <v>536</v>
      </c>
      <c r="N43" s="120">
        <v>8.0000000000000002E-3</v>
      </c>
      <c r="O43" s="31"/>
      <c r="P43" s="464"/>
    </row>
    <row r="44" spans="1:16" x14ac:dyDescent="0.2">
      <c r="A44" s="30" t="s">
        <v>535</v>
      </c>
      <c r="B44" s="30" t="s">
        <v>493</v>
      </c>
      <c r="C44" s="31" t="s">
        <v>49</v>
      </c>
      <c r="D44" s="124">
        <f>D41</f>
        <v>3.8380814999999999</v>
      </c>
      <c r="E44" s="124">
        <f>E41</f>
        <v>3.8380814999999999</v>
      </c>
      <c r="F44" s="124">
        <f>F41</f>
        <v>2.64</v>
      </c>
      <c r="G44" s="124">
        <f>G41</f>
        <v>0.37459999999999999</v>
      </c>
      <c r="H44" s="124">
        <f>H41</f>
        <v>0</v>
      </c>
      <c r="I44" s="155">
        <f>I43</f>
        <v>1.2699199999999999</v>
      </c>
      <c r="J44" s="155">
        <f>J43</f>
        <v>1.8260000000000001</v>
      </c>
      <c r="K44" s="155">
        <f t="shared" si="11"/>
        <v>1.2853560000000002</v>
      </c>
      <c r="L44" s="31">
        <v>3</v>
      </c>
      <c r="M44" s="32" t="s">
        <v>537</v>
      </c>
      <c r="N44" s="120">
        <v>8.0000000000000002E-3</v>
      </c>
      <c r="O44" s="31"/>
      <c r="P44" s="464"/>
    </row>
    <row r="45" spans="1:16" x14ac:dyDescent="0.2">
      <c r="A45" s="30" t="s">
        <v>512</v>
      </c>
      <c r="B45" s="30" t="s">
        <v>493</v>
      </c>
      <c r="C45" s="31" t="s">
        <v>211</v>
      </c>
      <c r="D45" s="124">
        <f t="shared" si="2"/>
        <v>4.6123200000000004</v>
      </c>
      <c r="E45" s="155">
        <f>SUM(F45:K45)</f>
        <v>4.6123200000000004</v>
      </c>
      <c r="F45" s="155">
        <v>7.2889999999999997</v>
      </c>
      <c r="G45" s="155">
        <f>0.455+0.2361</f>
        <v>0.69110000000000005</v>
      </c>
      <c r="H45" s="155">
        <v>0</v>
      </c>
      <c r="I45" s="155">
        <f>0.1198+0.0076+0.1209</f>
        <v>0.24830000000000002</v>
      </c>
      <c r="J45" s="155">
        <v>-6.0846</v>
      </c>
      <c r="K45" s="155">
        <f t="shared" si="11"/>
        <v>2.4685200000000003</v>
      </c>
      <c r="L45" s="31">
        <v>3</v>
      </c>
      <c r="M45" s="32" t="s">
        <v>191</v>
      </c>
      <c r="N45" s="33">
        <v>1</v>
      </c>
      <c r="O45" s="31"/>
      <c r="P45" s="44"/>
    </row>
    <row r="46" spans="1:16" x14ac:dyDescent="0.2">
      <c r="A46" s="30" t="s">
        <v>511</v>
      </c>
      <c r="B46" s="30" t="s">
        <v>493</v>
      </c>
      <c r="C46" s="31" t="s">
        <v>49</v>
      </c>
      <c r="D46" s="124">
        <f t="shared" si="2"/>
        <v>2.003916666666667</v>
      </c>
      <c r="E46" s="155">
        <f t="shared" ref="E46:K46" si="14">$N$46/$N$33*E33</f>
        <v>2.003916666666667</v>
      </c>
      <c r="F46" s="155">
        <f t="shared" si="14"/>
        <v>1.9833333333333334</v>
      </c>
      <c r="G46" s="155">
        <f t="shared" si="14"/>
        <v>0.2</v>
      </c>
      <c r="H46" s="155">
        <f t="shared" si="14"/>
        <v>0</v>
      </c>
      <c r="I46" s="155">
        <f t="shared" si="14"/>
        <v>0.34916666666666674</v>
      </c>
      <c r="J46" s="155">
        <f t="shared" si="14"/>
        <v>-1.2883333333333333</v>
      </c>
      <c r="K46" s="155">
        <f t="shared" si="14"/>
        <v>0.75975000000000004</v>
      </c>
      <c r="L46" s="31">
        <v>3</v>
      </c>
      <c r="M46" s="32" t="s">
        <v>321</v>
      </c>
      <c r="N46" s="33">
        <v>0.1</v>
      </c>
      <c r="O46" s="31"/>
      <c r="P46" s="44"/>
    </row>
    <row r="47" spans="1:16" x14ac:dyDescent="0.2">
      <c r="A47" s="30" t="s">
        <v>498</v>
      </c>
      <c r="B47" s="30" t="s">
        <v>493</v>
      </c>
      <c r="C47" s="31" t="s">
        <v>196</v>
      </c>
      <c r="D47" s="124">
        <f t="shared" si="2"/>
        <v>18.981300000000001</v>
      </c>
      <c r="E47" s="155">
        <f>SUM(F47:K47)</f>
        <v>18.981300000000001</v>
      </c>
      <c r="F47" s="155">
        <v>8.8702000000000005</v>
      </c>
      <c r="G47" s="155">
        <v>5.3230000000000004</v>
      </c>
      <c r="H47" s="155">
        <v>0</v>
      </c>
      <c r="I47" s="155">
        <v>0.4078</v>
      </c>
      <c r="J47" s="155">
        <v>0</v>
      </c>
      <c r="K47" s="155">
        <f t="shared" ref="K47:K54" si="15">IF(L47=3,SUM(F47:I47)*0.3,0)</f>
        <v>4.3803000000000001</v>
      </c>
      <c r="L47" s="31">
        <v>3</v>
      </c>
      <c r="M47" s="32" t="s">
        <v>322</v>
      </c>
      <c r="N47" s="33"/>
      <c r="O47" s="31">
        <v>11.5</v>
      </c>
      <c r="P47" s="44"/>
    </row>
    <row r="48" spans="1:16" x14ac:dyDescent="0.2">
      <c r="A48" s="30" t="s">
        <v>498</v>
      </c>
      <c r="B48" s="30" t="s">
        <v>493</v>
      </c>
      <c r="C48" s="31" t="s">
        <v>50</v>
      </c>
      <c r="D48" s="124">
        <f t="shared" si="2"/>
        <v>1.6505478260869566</v>
      </c>
      <c r="E48" s="155">
        <f>E47/$O$47</f>
        <v>1.6505478260869566</v>
      </c>
      <c r="F48" s="155">
        <f>F47/$O$47</f>
        <v>0.77132173913043478</v>
      </c>
      <c r="G48" s="155">
        <f>G47/$O$47</f>
        <v>0.46286956521739137</v>
      </c>
      <c r="H48" s="155"/>
      <c r="I48" s="155">
        <f>I47/$O$47</f>
        <v>3.5460869565217393E-2</v>
      </c>
      <c r="J48" s="155">
        <v>0</v>
      </c>
      <c r="K48" s="155">
        <f t="shared" si="15"/>
        <v>0.38089565217391302</v>
      </c>
      <c r="L48" s="31">
        <v>3</v>
      </c>
      <c r="M48" s="32" t="s">
        <v>499</v>
      </c>
      <c r="N48" s="33"/>
      <c r="O48" s="31">
        <v>0.16800000000000001</v>
      </c>
      <c r="P48" s="44"/>
    </row>
    <row r="49" spans="1:16" x14ac:dyDescent="0.2">
      <c r="A49" s="30" t="s">
        <v>510</v>
      </c>
      <c r="B49" s="30" t="s">
        <v>493</v>
      </c>
      <c r="C49" s="31" t="s">
        <v>50</v>
      </c>
      <c r="D49" s="124">
        <f t="shared" si="2"/>
        <v>4.7568000000000001</v>
      </c>
      <c r="E49" s="155">
        <f>SUM(F49:K49)</f>
        <v>4.7568000000000001</v>
      </c>
      <c r="F49" s="122">
        <v>4.2560000000000002</v>
      </c>
      <c r="G49" s="122">
        <v>0.28129999999999999</v>
      </c>
      <c r="H49" s="122">
        <v>0</v>
      </c>
      <c r="I49" s="155">
        <f>0.3249+0.2738+2.5075+0.0045</f>
        <v>3.1107</v>
      </c>
      <c r="J49" s="122">
        <v>-2.8912</v>
      </c>
      <c r="K49" s="155">
        <f t="shared" si="15"/>
        <v>0</v>
      </c>
      <c r="L49" s="31">
        <v>1</v>
      </c>
      <c r="M49" s="32"/>
      <c r="N49" s="33">
        <v>1</v>
      </c>
      <c r="O49" s="31"/>
      <c r="P49" s="44"/>
    </row>
    <row r="50" spans="1:16" x14ac:dyDescent="0.2">
      <c r="A50" s="30" t="s">
        <v>509</v>
      </c>
      <c r="B50" s="30" t="s">
        <v>493</v>
      </c>
      <c r="C50" s="31" t="s">
        <v>197</v>
      </c>
      <c r="D50" s="124">
        <f t="shared" si="2"/>
        <v>5.0673369999999993</v>
      </c>
      <c r="E50" s="155">
        <f>SUM(F50:K50)</f>
        <v>5.0673369999999993</v>
      </c>
      <c r="F50" s="122">
        <v>4.1440000000000001</v>
      </c>
      <c r="G50" s="122">
        <v>0.89610000000000001</v>
      </c>
      <c r="H50" s="122">
        <v>4.4999999999999998E-2</v>
      </c>
      <c r="I50" s="155">
        <f>0.0272+0.009037</f>
        <v>3.6236999999999998E-2</v>
      </c>
      <c r="J50" s="155">
        <v>-5.3999999999999999E-2</v>
      </c>
      <c r="K50" s="128"/>
      <c r="L50" s="31">
        <v>2</v>
      </c>
      <c r="M50" s="32" t="s">
        <v>500</v>
      </c>
      <c r="N50" s="33">
        <v>0.35</v>
      </c>
      <c r="O50" s="31"/>
      <c r="P50" s="44"/>
    </row>
    <row r="51" spans="1:16" x14ac:dyDescent="0.2">
      <c r="A51" s="30" t="s">
        <v>607</v>
      </c>
      <c r="B51" s="36">
        <v>6.1</v>
      </c>
      <c r="C51" s="31" t="s">
        <v>50</v>
      </c>
      <c r="D51" s="124">
        <v>0.3</v>
      </c>
      <c r="E51" s="155">
        <v>0.3</v>
      </c>
      <c r="F51" s="155">
        <v>0.13</v>
      </c>
      <c r="G51" s="155">
        <v>0.11</v>
      </c>
      <c r="H51" s="123">
        <v>0</v>
      </c>
      <c r="I51" s="551">
        <v>-0.01</v>
      </c>
      <c r="J51" s="551"/>
      <c r="K51" s="155">
        <v>7.0000000000000007E-2</v>
      </c>
      <c r="L51" s="31">
        <v>3</v>
      </c>
      <c r="M51" s="32" t="s">
        <v>609</v>
      </c>
      <c r="N51" s="33">
        <v>0.125</v>
      </c>
      <c r="O51" s="31"/>
      <c r="P51" s="44"/>
    </row>
    <row r="52" spans="1:16" x14ac:dyDescent="0.2">
      <c r="A52" s="30" t="s">
        <v>611</v>
      </c>
      <c r="B52" s="36">
        <v>6.1</v>
      </c>
      <c r="C52" s="31" t="s">
        <v>50</v>
      </c>
      <c r="D52" s="124">
        <v>0.33</v>
      </c>
      <c r="E52" s="155">
        <v>0.33</v>
      </c>
      <c r="F52" s="155">
        <v>0.12</v>
      </c>
      <c r="G52" s="155">
        <v>0.11</v>
      </c>
      <c r="H52" s="123">
        <v>0</v>
      </c>
      <c r="I52" s="551">
        <v>0.02</v>
      </c>
      <c r="J52" s="551"/>
      <c r="K52" s="155">
        <v>0.08</v>
      </c>
      <c r="L52" s="31">
        <v>3</v>
      </c>
      <c r="M52" s="32" t="s">
        <v>608</v>
      </c>
      <c r="N52" s="33">
        <v>0.125</v>
      </c>
      <c r="O52" s="31"/>
      <c r="P52" s="44"/>
    </row>
    <row r="53" spans="1:16" x14ac:dyDescent="0.2">
      <c r="A53" s="30" t="s">
        <v>508</v>
      </c>
      <c r="B53" s="30" t="s">
        <v>493</v>
      </c>
      <c r="C53" s="31" t="s">
        <v>50</v>
      </c>
      <c r="D53" s="124">
        <f t="shared" si="2"/>
        <v>6.4635974984200004</v>
      </c>
      <c r="E53" s="155">
        <f>SUM(F53:K53)</f>
        <v>6.4635974984200004</v>
      </c>
      <c r="F53" s="122">
        <v>4.1166</v>
      </c>
      <c r="G53" s="122">
        <v>0.23350000000000001</v>
      </c>
      <c r="H53" s="122">
        <v>0</v>
      </c>
      <c r="I53" s="122">
        <f>0.0043+0.0000003834+0.00317+0.00012</f>
        <v>7.5903834000000002E-3</v>
      </c>
      <c r="J53" s="122">
        <v>0.79859999999999998</v>
      </c>
      <c r="K53" s="155">
        <f t="shared" si="15"/>
        <v>1.3073071150200002</v>
      </c>
      <c r="L53" s="31">
        <v>3</v>
      </c>
      <c r="M53" s="32" t="s">
        <v>531</v>
      </c>
      <c r="N53" s="33">
        <v>0.1</v>
      </c>
      <c r="O53" s="31"/>
      <c r="P53" s="44"/>
    </row>
    <row r="54" spans="1:16" ht="12.6" customHeight="1" x14ac:dyDescent="0.2">
      <c r="A54" s="30" t="s">
        <v>573</v>
      </c>
      <c r="B54" s="30">
        <v>6.1</v>
      </c>
      <c r="C54" s="31" t="s">
        <v>50</v>
      </c>
      <c r="D54" s="124">
        <f t="shared" si="2"/>
        <v>0.87902413793103451</v>
      </c>
      <c r="E54" s="155">
        <f>SUM(F54:K54)</f>
        <v>0.87902413793103451</v>
      </c>
      <c r="F54" s="155">
        <f>O54*F16</f>
        <v>0.58794827586206899</v>
      </c>
      <c r="G54" s="155">
        <f>G51</f>
        <v>0.11</v>
      </c>
      <c r="H54" s="155">
        <v>0</v>
      </c>
      <c r="I54" s="551">
        <f>I16*O54</f>
        <v>-2.1775862068965517E-2</v>
      </c>
      <c r="J54" s="551"/>
      <c r="K54" s="155">
        <f t="shared" si="15"/>
        <v>0.20285172413793104</v>
      </c>
      <c r="L54" s="31">
        <v>3</v>
      </c>
      <c r="M54" s="37" t="s">
        <v>574</v>
      </c>
      <c r="N54" s="120">
        <v>0.1</v>
      </c>
      <c r="O54" s="31">
        <v>4.21</v>
      </c>
      <c r="P54" s="44"/>
    </row>
    <row r="55" spans="1:16" x14ac:dyDescent="0.2">
      <c r="A55" s="30" t="s">
        <v>567</v>
      </c>
      <c r="B55" s="30" t="s">
        <v>493</v>
      </c>
      <c r="C55" s="31" t="s">
        <v>50</v>
      </c>
      <c r="D55" s="124">
        <v>2.1269</v>
      </c>
      <c r="E55" s="155"/>
      <c r="F55" s="155"/>
      <c r="G55" s="155"/>
      <c r="H55" s="155"/>
      <c r="I55" s="155"/>
      <c r="J55" s="155"/>
      <c r="K55" s="155"/>
      <c r="L55" s="31">
        <v>3</v>
      </c>
      <c r="M55" s="32" t="s">
        <v>569</v>
      </c>
      <c r="N55" s="473">
        <f>0.65/1000</f>
        <v>6.4999999999999997E-4</v>
      </c>
      <c r="O55" s="31" t="s">
        <v>568</v>
      </c>
      <c r="P55" s="475" t="s">
        <v>570</v>
      </c>
    </row>
    <row r="56" spans="1:16" x14ac:dyDescent="0.2">
      <c r="A56" s="30" t="s">
        <v>567</v>
      </c>
      <c r="B56" s="30" t="s">
        <v>493</v>
      </c>
      <c r="C56" s="31" t="s">
        <v>48</v>
      </c>
      <c r="D56" s="472">
        <f>1/0.00032805*D55</f>
        <v>6483.4628867550682</v>
      </c>
      <c r="E56" s="155"/>
      <c r="F56" s="155"/>
      <c r="G56" s="155"/>
      <c r="H56" s="155"/>
      <c r="I56" s="155"/>
      <c r="J56" s="155"/>
      <c r="K56" s="155"/>
      <c r="L56" s="31">
        <v>3</v>
      </c>
      <c r="M56" s="32"/>
      <c r="N56" s="474">
        <v>1</v>
      </c>
      <c r="O56" s="32" t="s">
        <v>566</v>
      </c>
      <c r="P56" s="44"/>
    </row>
    <row r="57" spans="1:16" x14ac:dyDescent="0.2">
      <c r="A57" s="30" t="s">
        <v>641</v>
      </c>
      <c r="B57" s="30">
        <v>6.1</v>
      </c>
      <c r="C57" s="31" t="s">
        <v>642</v>
      </c>
      <c r="D57" s="465">
        <v>384.92</v>
      </c>
      <c r="E57" s="155">
        <v>384.92</v>
      </c>
      <c r="F57" s="155">
        <v>300.08</v>
      </c>
      <c r="G57" s="155">
        <v>16.59</v>
      </c>
      <c r="H57" s="155">
        <v>0</v>
      </c>
      <c r="I57" s="551">
        <v>-45.87</v>
      </c>
      <c r="J57" s="551"/>
      <c r="K57" s="155">
        <v>114.12</v>
      </c>
      <c r="L57" s="31">
        <v>3</v>
      </c>
      <c r="M57" s="32"/>
      <c r="N57" s="474">
        <v>0.4</v>
      </c>
      <c r="O57" s="32"/>
      <c r="P57" s="44"/>
    </row>
    <row r="58" spans="1:16" x14ac:dyDescent="0.2">
      <c r="A58" s="30" t="s">
        <v>501</v>
      </c>
      <c r="B58" s="30" t="s">
        <v>493</v>
      </c>
      <c r="C58" s="31" t="s">
        <v>48</v>
      </c>
      <c r="D58" s="124">
        <f t="shared" si="2"/>
        <v>39.457390000000004</v>
      </c>
      <c r="E58" s="155">
        <f>SUM(F58:K58)</f>
        <v>39.457390000000004</v>
      </c>
      <c r="F58" s="155">
        <v>31.736999999999998</v>
      </c>
      <c r="G58" s="155">
        <v>2.1680000000000001</v>
      </c>
      <c r="H58" s="155">
        <v>0</v>
      </c>
      <c r="I58" s="155">
        <f>0.0091+1.064+1.8955+0.1167</f>
        <v>3.0853000000000002</v>
      </c>
      <c r="J58" s="155">
        <v>-8.6300000000000008</v>
      </c>
      <c r="K58" s="155">
        <f>IF(L58=3,SUM(F58:I58)*0.3,0)</f>
        <v>11.097090000000001</v>
      </c>
      <c r="L58" s="31">
        <v>3</v>
      </c>
      <c r="M58" s="32"/>
      <c r="N58" s="33"/>
      <c r="O58" s="31"/>
      <c r="P58" s="44"/>
    </row>
    <row r="59" spans="1:16" x14ac:dyDescent="0.2">
      <c r="A59" s="30" t="s">
        <v>501</v>
      </c>
      <c r="B59" s="30" t="s">
        <v>493</v>
      </c>
      <c r="C59" s="31" t="s">
        <v>49</v>
      </c>
      <c r="D59" s="124">
        <f t="shared" si="2"/>
        <v>3.9457390000000006</v>
      </c>
      <c r="E59" s="155">
        <f>E58*$N$59</f>
        <v>3.9457390000000006</v>
      </c>
      <c r="F59" s="155">
        <v>10.3</v>
      </c>
      <c r="G59" s="155">
        <v>0</v>
      </c>
      <c r="H59" s="155"/>
      <c r="I59" s="155">
        <f>I58*$N$59</f>
        <v>0.30853000000000003</v>
      </c>
      <c r="J59" s="155">
        <v>0</v>
      </c>
      <c r="K59" s="155">
        <f>IF(L59=3,SUM(F59:I59)*0.3,0)</f>
        <v>3.1825589999999999</v>
      </c>
      <c r="L59" s="31">
        <v>3</v>
      </c>
      <c r="M59" s="32" t="s">
        <v>275</v>
      </c>
      <c r="N59" s="33">
        <v>0.1</v>
      </c>
      <c r="O59" s="31"/>
      <c r="P59" s="44"/>
    </row>
    <row r="60" spans="1:16" x14ac:dyDescent="0.2">
      <c r="A60" s="30" t="s">
        <v>602</v>
      </c>
      <c r="B60" s="30" t="s">
        <v>493</v>
      </c>
      <c r="C60" s="31" t="s">
        <v>50</v>
      </c>
      <c r="D60" s="124">
        <v>1.8</v>
      </c>
      <c r="E60" s="155"/>
      <c r="F60" s="155"/>
      <c r="G60" s="155"/>
      <c r="H60" s="155"/>
      <c r="I60" s="155"/>
      <c r="J60" s="155"/>
      <c r="K60" s="155"/>
      <c r="L60" s="31"/>
      <c r="M60" s="32"/>
      <c r="N60" s="33"/>
      <c r="O60" s="31"/>
      <c r="P60" s="44"/>
    </row>
    <row r="61" spans="1:16" x14ac:dyDescent="0.2">
      <c r="A61" s="30" t="s">
        <v>603</v>
      </c>
      <c r="B61" s="30" t="s">
        <v>493</v>
      </c>
      <c r="C61" s="31" t="s">
        <v>50</v>
      </c>
      <c r="D61" s="124">
        <v>2.2000000000000002</v>
      </c>
      <c r="E61" s="155"/>
      <c r="F61" s="155"/>
      <c r="G61" s="155"/>
      <c r="H61" s="155"/>
      <c r="I61" s="155"/>
      <c r="J61" s="155"/>
      <c r="K61" s="155"/>
      <c r="L61" s="31"/>
      <c r="M61" s="32"/>
      <c r="N61" s="33"/>
      <c r="O61" s="31"/>
      <c r="P61" s="44"/>
    </row>
    <row r="62" spans="1:16" x14ac:dyDescent="0.2">
      <c r="A62" s="30" t="s">
        <v>604</v>
      </c>
      <c r="B62" s="30" t="s">
        <v>493</v>
      </c>
      <c r="C62" s="31" t="s">
        <v>50</v>
      </c>
      <c r="D62" s="124">
        <v>1.77</v>
      </c>
      <c r="E62" s="155"/>
      <c r="F62" s="155"/>
      <c r="G62" s="155"/>
      <c r="H62" s="155"/>
      <c r="I62" s="155"/>
      <c r="J62" s="155"/>
      <c r="K62" s="155"/>
      <c r="L62" s="31"/>
      <c r="M62" s="32"/>
      <c r="N62" s="33"/>
      <c r="O62" s="31"/>
      <c r="P62" s="44"/>
    </row>
    <row r="63" spans="1:16" ht="12" customHeight="1" x14ac:dyDescent="0.2">
      <c r="A63" s="30" t="s">
        <v>207</v>
      </c>
      <c r="B63" s="30" t="s">
        <v>493</v>
      </c>
      <c r="C63" s="31" t="s">
        <v>48</v>
      </c>
      <c r="D63" s="124">
        <f t="shared" ref="D63:K63" si="16">(7200/15.9)*D53</f>
        <v>2926.9120747562265</v>
      </c>
      <c r="E63" s="155">
        <f t="shared" si="16"/>
        <v>2926.9120747562265</v>
      </c>
      <c r="F63" s="155">
        <f t="shared" si="16"/>
        <v>1864.1207547169811</v>
      </c>
      <c r="G63" s="155">
        <f t="shared" si="16"/>
        <v>105.73584905660378</v>
      </c>
      <c r="H63" s="155">
        <f t="shared" si="16"/>
        <v>0</v>
      </c>
      <c r="I63" s="155">
        <f t="shared" si="16"/>
        <v>3.4371547471698114</v>
      </c>
      <c r="J63" s="155">
        <f t="shared" si="16"/>
        <v>361.63018867924529</v>
      </c>
      <c r="K63" s="155">
        <f t="shared" si="16"/>
        <v>591.98812755622646</v>
      </c>
      <c r="L63" s="31">
        <v>3</v>
      </c>
      <c r="M63" s="37" t="s">
        <v>502</v>
      </c>
      <c r="N63" s="33"/>
      <c r="O63" s="31">
        <v>7200</v>
      </c>
      <c r="P63" s="44"/>
    </row>
    <row r="64" spans="1:16" x14ac:dyDescent="0.2">
      <c r="A64" s="30" t="s">
        <v>507</v>
      </c>
      <c r="B64" s="30" t="s">
        <v>493</v>
      </c>
      <c r="C64" s="31" t="s">
        <v>49</v>
      </c>
      <c r="D64" s="124">
        <f t="shared" si="2"/>
        <v>4.6778000000000004</v>
      </c>
      <c r="E64" s="155">
        <v>4.6778000000000004</v>
      </c>
      <c r="F64" s="155"/>
      <c r="G64" s="155"/>
      <c r="H64" s="155"/>
      <c r="I64" s="155"/>
      <c r="J64" s="155"/>
      <c r="K64" s="155">
        <f t="shared" ref="K64:K71" si="17">IF(L64=3,SUM(F64:I64)*0.3,0)</f>
        <v>0</v>
      </c>
      <c r="L64" s="31">
        <v>3</v>
      </c>
      <c r="M64" s="32" t="s">
        <v>503</v>
      </c>
      <c r="N64" s="33"/>
      <c r="O64" s="31"/>
      <c r="P64" s="44"/>
    </row>
    <row r="65" spans="1:16" x14ac:dyDescent="0.2">
      <c r="A65" s="30" t="s">
        <v>281</v>
      </c>
      <c r="B65" s="30" t="s">
        <v>493</v>
      </c>
      <c r="C65" s="31" t="s">
        <v>49</v>
      </c>
      <c r="D65" s="124">
        <f t="shared" si="2"/>
        <v>4.2629340000000004</v>
      </c>
      <c r="E65" s="155">
        <f>SUM(F65:K65)</f>
        <v>4.2629340000000004</v>
      </c>
      <c r="F65" s="155">
        <v>0.60472999999999999</v>
      </c>
      <c r="G65" s="155">
        <v>0.20577000000000001</v>
      </c>
      <c r="H65" s="155">
        <v>1.0487</v>
      </c>
      <c r="I65" s="155">
        <f>0.333+0.1373+0.0055+0.94418</f>
        <v>1.41998</v>
      </c>
      <c r="J65" s="155">
        <v>0</v>
      </c>
      <c r="K65" s="155">
        <f t="shared" si="17"/>
        <v>0.98375400000000002</v>
      </c>
      <c r="L65" s="31">
        <v>3</v>
      </c>
      <c r="M65" s="32"/>
      <c r="N65" s="33"/>
      <c r="O65" s="31"/>
      <c r="P65" s="44"/>
    </row>
    <row r="66" spans="1:16" x14ac:dyDescent="0.2">
      <c r="A66" s="30" t="s">
        <v>506</v>
      </c>
      <c r="B66" s="30" t="s">
        <v>493</v>
      </c>
      <c r="C66" s="31" t="s">
        <v>299</v>
      </c>
      <c r="D66" s="123">
        <f t="shared" ref="D66:J66" si="18">1/$O$67*D67</f>
        <v>2.1160189743589743</v>
      </c>
      <c r="E66" s="155">
        <f t="shared" si="18"/>
        <v>2.1160189743589743</v>
      </c>
      <c r="F66" s="155">
        <f t="shared" si="18"/>
        <v>0</v>
      </c>
      <c r="G66" s="155">
        <f t="shared" si="18"/>
        <v>0.7827350427350428</v>
      </c>
      <c r="H66" s="155">
        <f t="shared" si="18"/>
        <v>7.0427350427350432E-2</v>
      </c>
      <c r="I66" s="155">
        <f t="shared" si="18"/>
        <v>0.76298632478632478</v>
      </c>
      <c r="J66" s="155">
        <f t="shared" si="18"/>
        <v>1.5025641025641025E-2</v>
      </c>
      <c r="K66" s="155">
        <f t="shared" si="17"/>
        <v>0.48484461538461543</v>
      </c>
      <c r="L66" s="31">
        <v>3</v>
      </c>
      <c r="M66" s="32" t="s">
        <v>504</v>
      </c>
      <c r="N66" s="33"/>
      <c r="O66" s="31">
        <v>1.95</v>
      </c>
      <c r="P66" s="44"/>
    </row>
    <row r="67" spans="1:16" x14ac:dyDescent="0.2">
      <c r="A67" s="30" t="s">
        <v>506</v>
      </c>
      <c r="B67" s="30" t="s">
        <v>493</v>
      </c>
      <c r="C67" s="31" t="s">
        <v>49</v>
      </c>
      <c r="D67" s="124">
        <f t="shared" si="2"/>
        <v>1.2378710999999998</v>
      </c>
      <c r="E67" s="155">
        <f>SUM(F67:K67)</f>
        <v>1.2378710999999998</v>
      </c>
      <c r="F67" s="155">
        <v>0</v>
      </c>
      <c r="G67" s="155">
        <v>0.45789999999999997</v>
      </c>
      <c r="H67" s="155">
        <v>4.1200000000000001E-2</v>
      </c>
      <c r="I67" s="155">
        <f>0.062+0.282+0.098+0.004347</f>
        <v>0.44634699999999994</v>
      </c>
      <c r="J67" s="155">
        <v>8.7899999999999992E-3</v>
      </c>
      <c r="K67" s="155">
        <f t="shared" si="17"/>
        <v>0.28363409999999994</v>
      </c>
      <c r="L67" s="31">
        <v>3</v>
      </c>
      <c r="M67" s="32" t="s">
        <v>505</v>
      </c>
      <c r="N67" s="33">
        <v>0.3</v>
      </c>
      <c r="O67" s="31">
        <f>N67*O66</f>
        <v>0.58499999999999996</v>
      </c>
      <c r="P67" s="44"/>
    </row>
    <row r="68" spans="1:16" x14ac:dyDescent="0.2">
      <c r="A68" s="30" t="s">
        <v>515</v>
      </c>
      <c r="B68" s="30" t="s">
        <v>493</v>
      </c>
      <c r="C68" s="31" t="s">
        <v>211</v>
      </c>
      <c r="D68" s="124">
        <f t="shared" si="2"/>
        <v>4.3284799999999999</v>
      </c>
      <c r="E68" s="155">
        <f>SUM(F68:K68)</f>
        <v>4.3284799999999999</v>
      </c>
      <c r="F68" s="155">
        <v>2.2423999999999999</v>
      </c>
      <c r="G68" s="155">
        <v>0.93369999999999997</v>
      </c>
      <c r="H68" s="155">
        <v>0</v>
      </c>
      <c r="I68" s="155">
        <f>0.0375+0.718+0.011</f>
        <v>0.76649999999999996</v>
      </c>
      <c r="J68" s="155">
        <v>-0.79690000000000005</v>
      </c>
      <c r="K68" s="155">
        <f t="shared" si="17"/>
        <v>1.1827799999999999</v>
      </c>
      <c r="L68" s="31">
        <v>3</v>
      </c>
      <c r="M68" s="32" t="s">
        <v>191</v>
      </c>
      <c r="N68" s="33">
        <v>1</v>
      </c>
      <c r="O68" s="31"/>
      <c r="P68" s="44"/>
    </row>
    <row r="69" spans="1:16" x14ac:dyDescent="0.2">
      <c r="A69" s="30" t="s">
        <v>212</v>
      </c>
      <c r="B69" s="30" t="s">
        <v>493</v>
      </c>
      <c r="C69" s="31" t="s">
        <v>194</v>
      </c>
      <c r="D69" s="465">
        <f t="shared" si="2"/>
        <v>8.87668925E-3</v>
      </c>
      <c r="E69" s="155">
        <f>SUM(F69:K69)</f>
        <v>8.87668925E-3</v>
      </c>
      <c r="F69" s="155">
        <v>3.885E-3</v>
      </c>
      <c r="G69" s="155">
        <v>2.3999999999999998E-3</v>
      </c>
      <c r="H69" s="155">
        <v>0</v>
      </c>
      <c r="I69" s="155">
        <f>0.00026+0.0000182225</f>
        <v>2.7822249999999996E-4</v>
      </c>
      <c r="J69" s="155">
        <v>3.4450000000000003E-4</v>
      </c>
      <c r="K69" s="155">
        <f t="shared" si="17"/>
        <v>1.9689667499999996E-3</v>
      </c>
      <c r="L69" s="31">
        <v>3</v>
      </c>
      <c r="M69" s="32" t="s">
        <v>213</v>
      </c>
      <c r="N69" s="33"/>
      <c r="O69" s="31">
        <v>1080</v>
      </c>
      <c r="P69" s="44"/>
    </row>
    <row r="70" spans="1:16" x14ac:dyDescent="0.2">
      <c r="A70" s="30" t="s">
        <v>212</v>
      </c>
      <c r="B70" s="30" t="s">
        <v>493</v>
      </c>
      <c r="C70" s="31" t="s">
        <v>48</v>
      </c>
      <c r="D70" s="124">
        <f t="shared" ref="D70:J70" si="19">D69*1080</f>
        <v>9.5868243900000003</v>
      </c>
      <c r="E70" s="155">
        <f t="shared" si="19"/>
        <v>9.5868243900000003</v>
      </c>
      <c r="F70" s="155">
        <f t="shared" si="19"/>
        <v>4.1958000000000002</v>
      </c>
      <c r="G70" s="155">
        <f t="shared" si="19"/>
        <v>2.5919999999999996</v>
      </c>
      <c r="H70" s="155">
        <f t="shared" si="19"/>
        <v>0</v>
      </c>
      <c r="I70" s="155">
        <f t="shared" si="19"/>
        <v>0.30048029999999998</v>
      </c>
      <c r="J70" s="155">
        <f t="shared" si="19"/>
        <v>0.37206</v>
      </c>
      <c r="K70" s="155">
        <f t="shared" si="17"/>
        <v>2.1264840899999999</v>
      </c>
      <c r="L70" s="31">
        <v>3</v>
      </c>
      <c r="M70" s="32" t="s">
        <v>191</v>
      </c>
      <c r="N70" s="33">
        <v>1</v>
      </c>
      <c r="O70" s="31"/>
      <c r="P70" s="44"/>
    </row>
    <row r="71" spans="1:16" x14ac:dyDescent="0.2">
      <c r="A71" s="30" t="s">
        <v>303</v>
      </c>
      <c r="B71" s="30" t="s">
        <v>493</v>
      </c>
      <c r="C71" s="31" t="s">
        <v>196</v>
      </c>
      <c r="D71" s="124">
        <f t="shared" si="2"/>
        <v>479.06779999999998</v>
      </c>
      <c r="E71" s="155">
        <f>SUM(F71:K71)</f>
        <v>479.06779999999998</v>
      </c>
      <c r="F71" s="155">
        <v>312.39</v>
      </c>
      <c r="G71" s="155">
        <v>33.15</v>
      </c>
      <c r="H71" s="155">
        <v>0</v>
      </c>
      <c r="I71" s="155">
        <f>1.966</f>
        <v>1.966</v>
      </c>
      <c r="J71" s="155">
        <v>27.31</v>
      </c>
      <c r="K71" s="155">
        <f t="shared" si="17"/>
        <v>104.25179999999999</v>
      </c>
      <c r="L71" s="31">
        <v>3</v>
      </c>
      <c r="M71" s="32" t="s">
        <v>516</v>
      </c>
      <c r="N71" s="33"/>
      <c r="O71" s="31"/>
      <c r="P71" s="44"/>
    </row>
    <row r="72" spans="1:16" x14ac:dyDescent="0.2">
      <c r="A72" s="30" t="s">
        <v>547</v>
      </c>
      <c r="B72" s="30" t="s">
        <v>493</v>
      </c>
      <c r="C72" s="31" t="s">
        <v>50</v>
      </c>
      <c r="D72" s="124">
        <v>160.65270000000001</v>
      </c>
      <c r="E72" s="155">
        <v>160.65270000000001</v>
      </c>
      <c r="F72" s="155"/>
      <c r="G72" s="155"/>
      <c r="H72" s="155"/>
      <c r="I72" s="155"/>
      <c r="J72" s="155"/>
      <c r="K72" s="155"/>
      <c r="L72" s="31">
        <v>3</v>
      </c>
      <c r="M72" s="32" t="s">
        <v>548</v>
      </c>
      <c r="N72" s="33">
        <v>0.8</v>
      </c>
      <c r="O72" s="31"/>
      <c r="P72" s="44" t="s">
        <v>549</v>
      </c>
    </row>
    <row r="73" spans="1:16" x14ac:dyDescent="0.2">
      <c r="A73" s="30" t="s">
        <v>565</v>
      </c>
      <c r="B73" s="30" t="s">
        <v>493</v>
      </c>
      <c r="C73" s="31" t="s">
        <v>50</v>
      </c>
      <c r="D73" s="124">
        <f t="shared" si="2"/>
        <v>3.1078333000000002</v>
      </c>
      <c r="E73" s="155">
        <f t="shared" ref="E73:E80" si="20">SUM(F73:K73)</f>
        <v>3.1078333000000002</v>
      </c>
      <c r="F73" s="122">
        <f>1.752079</f>
        <v>1.7520789999999999</v>
      </c>
      <c r="G73" s="122">
        <f>0.0434+0.436803</f>
        <v>0.48020299999999999</v>
      </c>
      <c r="H73" s="122">
        <v>0</v>
      </c>
      <c r="I73" s="122">
        <f>0.1551+0.003121+0.000138</f>
        <v>0.158359</v>
      </c>
      <c r="J73" s="155">
        <v>0</v>
      </c>
      <c r="K73" s="155">
        <f>IF(L73=3,SUM(F73:I73)*0.3,0)</f>
        <v>0.7171923</v>
      </c>
      <c r="L73" s="31">
        <v>3</v>
      </c>
      <c r="M73" s="32" t="s">
        <v>307</v>
      </c>
      <c r="N73" s="33">
        <v>0.125</v>
      </c>
      <c r="O73" s="31"/>
      <c r="P73" s="31"/>
    </row>
    <row r="74" spans="1:16" x14ac:dyDescent="0.2">
      <c r="A74" s="30" t="s">
        <v>553</v>
      </c>
      <c r="B74" s="30" t="s">
        <v>493</v>
      </c>
      <c r="C74" s="31" t="s">
        <v>50</v>
      </c>
      <c r="D74" s="124">
        <f t="shared" si="2"/>
        <v>54.271159999999995</v>
      </c>
      <c r="E74" s="155">
        <f t="shared" si="20"/>
        <v>54.271159999999995</v>
      </c>
      <c r="F74" s="122">
        <v>43.895000000000003</v>
      </c>
      <c r="G74" s="122">
        <v>1.4817</v>
      </c>
      <c r="H74" s="122">
        <v>0</v>
      </c>
      <c r="I74" s="122">
        <f>0.0515+0.382+0.002</f>
        <v>0.4355</v>
      </c>
      <c r="J74" s="155">
        <v>-5.2847</v>
      </c>
      <c r="K74" s="155">
        <f>IF(L74=3,SUM(F74:I74)*0.3,0)</f>
        <v>13.743659999999998</v>
      </c>
      <c r="L74" s="31">
        <v>3</v>
      </c>
      <c r="M74" s="32" t="s">
        <v>300</v>
      </c>
      <c r="N74" s="33">
        <f>323.9/1000</f>
        <v>0.32389999999999997</v>
      </c>
      <c r="O74" s="31">
        <v>7.8</v>
      </c>
      <c r="P74" s="44"/>
    </row>
    <row r="75" spans="1:16" x14ac:dyDescent="0.2">
      <c r="A75" s="30" t="s">
        <v>554</v>
      </c>
      <c r="B75" s="30" t="s">
        <v>493</v>
      </c>
      <c r="C75" s="31" t="s">
        <v>50</v>
      </c>
      <c r="D75" s="124">
        <f t="shared" ref="D75" si="21">E75</f>
        <v>3.734304400000001</v>
      </c>
      <c r="E75" s="155">
        <f t="shared" ref="E75" si="22">SUM(F75:K75)</f>
        <v>3.734304400000001</v>
      </c>
      <c r="F75" s="155">
        <v>3.9350000000000001</v>
      </c>
      <c r="G75" s="155">
        <f>0.03108+0.2498</f>
        <v>0.28088000000000002</v>
      </c>
      <c r="H75" s="155">
        <v>0</v>
      </c>
      <c r="I75" s="155">
        <f>0.1414+0.01046+0.0573+0.000098</f>
        <v>0.20925799999999997</v>
      </c>
      <c r="J75" s="155">
        <v>-2.0183749999999998</v>
      </c>
      <c r="K75" s="155">
        <f>IF(L75=3,SUM(F75:I75)*0.3,0)</f>
        <v>1.3275414000000001</v>
      </c>
      <c r="L75" s="31">
        <v>3</v>
      </c>
      <c r="M75" s="32" t="s">
        <v>555</v>
      </c>
      <c r="N75" s="468">
        <f>5.56/1000</f>
        <v>5.5599999999999998E-3</v>
      </c>
      <c r="O75" s="467">
        <f>101.6/1000</f>
        <v>0.1016</v>
      </c>
      <c r="P75" s="44"/>
    </row>
    <row r="76" spans="1:16" x14ac:dyDescent="0.2">
      <c r="A76" s="30" t="s">
        <v>554</v>
      </c>
      <c r="B76" s="30" t="s">
        <v>493</v>
      </c>
      <c r="C76" s="31" t="s">
        <v>48</v>
      </c>
      <c r="D76" s="124">
        <f t="shared" ref="D76:K76" si="23">1/$P$76*D75</f>
        <v>1081.7084115400123</v>
      </c>
      <c r="E76" s="155">
        <f t="shared" si="23"/>
        <v>1081.7084115400123</v>
      </c>
      <c r="F76" s="155">
        <f t="shared" si="23"/>
        <v>1139.8435005485753</v>
      </c>
      <c r="G76" s="155">
        <f t="shared" si="23"/>
        <v>81.361942168763363</v>
      </c>
      <c r="H76" s="155">
        <f t="shared" si="23"/>
        <v>0</v>
      </c>
      <c r="I76" s="155">
        <f t="shared" si="23"/>
        <v>60.615342118880235</v>
      </c>
      <c r="J76" s="155">
        <f t="shared" si="23"/>
        <v>-584.65860874707255</v>
      </c>
      <c r="K76" s="155">
        <f t="shared" si="23"/>
        <v>384.54623545086571</v>
      </c>
      <c r="L76" s="31">
        <v>3</v>
      </c>
      <c r="M76" s="32" t="s">
        <v>556</v>
      </c>
      <c r="N76" s="33"/>
      <c r="O76" s="467">
        <f>O75-N75</f>
        <v>9.604E-2</v>
      </c>
      <c r="P76" s="469">
        <f>(PI()*(O75^2))-(PI()*(O76^2))</f>
        <v>3.4522283086285029E-3</v>
      </c>
    </row>
    <row r="77" spans="1:16" ht="12.75" x14ac:dyDescent="0.2">
      <c r="A77" s="30" t="s">
        <v>517</v>
      </c>
      <c r="B77" s="30" t="s">
        <v>493</v>
      </c>
      <c r="C77" s="31" t="s">
        <v>49</v>
      </c>
      <c r="D77" s="124">
        <f t="shared" si="2"/>
        <v>3.6733200000000004</v>
      </c>
      <c r="E77" s="155">
        <f t="shared" si="20"/>
        <v>3.6733200000000004</v>
      </c>
      <c r="F77" s="122">
        <v>2.0870000000000002</v>
      </c>
      <c r="G77" s="122">
        <v>0.1201</v>
      </c>
      <c r="H77" s="122">
        <v>0</v>
      </c>
      <c r="I77" s="122">
        <f>0.0133+1.409+0</f>
        <v>1.4223000000000001</v>
      </c>
      <c r="J77" s="155">
        <v>-1.0448999999999999</v>
      </c>
      <c r="K77" s="155">
        <f>IF(L77=3,SUM(F77:I77)*0.3,0)</f>
        <v>1.0888200000000001</v>
      </c>
      <c r="L77" s="31">
        <v>3</v>
      </c>
      <c r="M77" s="32" t="s">
        <v>518</v>
      </c>
      <c r="N77" s="33">
        <f>5/100</f>
        <v>0.05</v>
      </c>
      <c r="O77" s="31"/>
      <c r="P77" s="129"/>
    </row>
    <row r="78" spans="1:16" x14ac:dyDescent="0.2">
      <c r="A78" s="30" t="s">
        <v>519</v>
      </c>
      <c r="B78" s="30" t="s">
        <v>493</v>
      </c>
      <c r="C78" s="31" t="s">
        <v>49</v>
      </c>
      <c r="D78" s="124">
        <f t="shared" si="2"/>
        <v>5.667349999999999</v>
      </c>
      <c r="E78" s="155">
        <f t="shared" si="20"/>
        <v>5.667349999999999</v>
      </c>
      <c r="F78" s="122">
        <v>4.71</v>
      </c>
      <c r="G78" s="122">
        <v>0.20899999999999999</v>
      </c>
      <c r="H78" s="122">
        <v>0</v>
      </c>
      <c r="I78" s="122">
        <f>0.029+0.2055+0.006</f>
        <v>0.24049999999999999</v>
      </c>
      <c r="J78" s="155">
        <v>-1.04</v>
      </c>
      <c r="K78" s="155">
        <f>IF(L78=3,SUM(F78:I78)*0.3,0)</f>
        <v>1.5478499999999997</v>
      </c>
      <c r="L78" s="31">
        <v>3</v>
      </c>
      <c r="M78" s="32" t="s">
        <v>218</v>
      </c>
      <c r="N78" s="33"/>
      <c r="O78" s="31"/>
      <c r="P78" s="44"/>
    </row>
    <row r="79" spans="1:16" x14ac:dyDescent="0.2">
      <c r="A79" s="30" t="s">
        <v>520</v>
      </c>
      <c r="B79" s="30" t="s">
        <v>493</v>
      </c>
      <c r="C79" s="31" t="s">
        <v>48</v>
      </c>
      <c r="D79" s="124">
        <f t="shared" si="2"/>
        <v>3.8296070000000006</v>
      </c>
      <c r="E79" s="155">
        <f t="shared" si="20"/>
        <v>3.8296070000000006</v>
      </c>
      <c r="F79" s="122">
        <v>3.1110000000000002</v>
      </c>
      <c r="G79" s="122">
        <v>0.98109999999999997</v>
      </c>
      <c r="H79" s="122">
        <v>0</v>
      </c>
      <c r="I79" s="122">
        <f>0.0375+0.7659+0.01189</f>
        <v>0.81528999999999996</v>
      </c>
      <c r="J79" s="155">
        <v>-2.5499999999999998</v>
      </c>
      <c r="K79" s="155">
        <f>IF(L79=3,SUM(F79:I79)*0.3,0)</f>
        <v>1.4722170000000001</v>
      </c>
      <c r="L79" s="31">
        <v>3</v>
      </c>
      <c r="M79" s="32" t="s">
        <v>216</v>
      </c>
      <c r="N79" s="33">
        <v>1</v>
      </c>
      <c r="O79" s="31"/>
      <c r="P79" s="44"/>
    </row>
    <row r="80" spans="1:16" x14ac:dyDescent="0.2">
      <c r="A80" s="30" t="s">
        <v>521</v>
      </c>
      <c r="B80" s="30" t="s">
        <v>493</v>
      </c>
      <c r="C80" s="31" t="s">
        <v>50</v>
      </c>
      <c r="D80" s="124">
        <f t="shared" si="2"/>
        <v>0.27069896739006111</v>
      </c>
      <c r="E80" s="155">
        <f t="shared" si="20"/>
        <v>0.27069896739006111</v>
      </c>
      <c r="F80" s="122">
        <f t="shared" ref="F80:K80" si="24">(PI()*(0.15*0.15)*1)*F79</f>
        <v>0.21990363176965158</v>
      </c>
      <c r="G80" s="155">
        <f t="shared" si="24"/>
        <v>6.9349872429831289E-2</v>
      </c>
      <c r="H80" s="155">
        <f t="shared" si="24"/>
        <v>0</v>
      </c>
      <c r="I80" s="155">
        <f t="shared" si="24"/>
        <v>5.7629454177267503E-2</v>
      </c>
      <c r="J80" s="155">
        <f t="shared" si="24"/>
        <v>-0.18024887849971438</v>
      </c>
      <c r="K80" s="155">
        <f t="shared" si="24"/>
        <v>0.10406488751302512</v>
      </c>
      <c r="L80" s="31">
        <v>3</v>
      </c>
      <c r="M80" s="32" t="s">
        <v>206</v>
      </c>
      <c r="N80" s="33"/>
      <c r="O80" s="31">
        <v>0.3</v>
      </c>
      <c r="P80" s="44"/>
    </row>
    <row r="81" spans="1:16" x14ac:dyDescent="0.2">
      <c r="A81" s="30" t="s">
        <v>522</v>
      </c>
      <c r="B81" s="30" t="s">
        <v>493</v>
      </c>
      <c r="C81" s="31" t="s">
        <v>50</v>
      </c>
      <c r="D81" s="471">
        <f>(PI()*(N81^2))*D32</f>
        <v>0.62954898784061475</v>
      </c>
      <c r="E81" s="155"/>
      <c r="F81" s="122"/>
      <c r="G81" s="122"/>
      <c r="H81" s="122"/>
      <c r="I81" s="122"/>
      <c r="J81" s="122"/>
      <c r="K81" s="155">
        <f>IF(L81=3,SUM(F81:I81)*0.3,0)</f>
        <v>0</v>
      </c>
      <c r="L81" s="31">
        <v>3</v>
      </c>
      <c r="M81" s="32" t="s">
        <v>560</v>
      </c>
      <c r="N81" s="33">
        <v>0.1</v>
      </c>
      <c r="O81" s="31"/>
      <c r="P81" s="44" t="s">
        <v>562</v>
      </c>
    </row>
    <row r="82" spans="1:16" x14ac:dyDescent="0.2">
      <c r="A82" s="30" t="s">
        <v>201</v>
      </c>
      <c r="B82" s="30" t="s">
        <v>493</v>
      </c>
      <c r="C82" s="31" t="s">
        <v>50</v>
      </c>
      <c r="D82" s="124">
        <f t="shared" si="2"/>
        <v>181.54974780000001</v>
      </c>
      <c r="E82" s="124">
        <f>SUM(F82:K82)</f>
        <v>181.54974780000001</v>
      </c>
      <c r="F82" s="122">
        <v>134.64240000000001</v>
      </c>
      <c r="G82" s="122">
        <v>5.2649999999999997</v>
      </c>
      <c r="H82" s="122">
        <v>0</v>
      </c>
      <c r="I82" s="122">
        <f>1.195+0.0095+0.0892+0.000706</f>
        <v>1.2944060000000002</v>
      </c>
      <c r="J82" s="122">
        <v>-2.0125999999999999</v>
      </c>
      <c r="K82" s="155">
        <f>IF(L82=3,SUM(F82:I82)*0.3,0)</f>
        <v>42.3605418</v>
      </c>
      <c r="L82" s="31">
        <v>3</v>
      </c>
      <c r="M82" s="32" t="s">
        <v>523</v>
      </c>
      <c r="N82" s="33"/>
      <c r="O82" s="32" t="s">
        <v>524</v>
      </c>
      <c r="P82" s="44"/>
    </row>
    <row r="83" spans="1:16" x14ac:dyDescent="0.2">
      <c r="A83" s="30" t="s">
        <v>202</v>
      </c>
      <c r="B83" s="30" t="s">
        <v>493</v>
      </c>
      <c r="C83" s="31" t="s">
        <v>50</v>
      </c>
      <c r="D83" s="124">
        <f t="shared" si="2"/>
        <v>10.4425305</v>
      </c>
      <c r="E83" s="155">
        <f>SUM(F83:K83)</f>
        <v>10.4425305</v>
      </c>
      <c r="F83" s="122">
        <v>7.4539999999999997</v>
      </c>
      <c r="G83" s="155">
        <v>1.4490000000000001</v>
      </c>
      <c r="H83" s="155">
        <v>0</v>
      </c>
      <c r="I83" s="155">
        <f>1.195+0.0095+0.0892+0.001585</f>
        <v>1.295285</v>
      </c>
      <c r="J83" s="155">
        <v>-2.8152400000000002</v>
      </c>
      <c r="K83" s="155">
        <f>IF(L83=3,SUM(F83:I83)*0.3,0)</f>
        <v>3.0594855000000001</v>
      </c>
      <c r="L83" s="31">
        <v>3</v>
      </c>
      <c r="M83" s="32" t="s">
        <v>523</v>
      </c>
      <c r="N83" s="33"/>
      <c r="O83" s="32" t="s">
        <v>524</v>
      </c>
      <c r="P83" s="44"/>
    </row>
    <row r="84" spans="1:16" x14ac:dyDescent="0.2">
      <c r="A84" s="30" t="s">
        <v>200</v>
      </c>
      <c r="B84" s="30" t="s">
        <v>493</v>
      </c>
      <c r="C84" s="31" t="s">
        <v>50</v>
      </c>
      <c r="D84" s="124">
        <v>0.79910000000000003</v>
      </c>
      <c r="E84" s="155">
        <v>0.79910000000000003</v>
      </c>
      <c r="F84" s="122"/>
      <c r="G84" s="122"/>
      <c r="H84" s="122"/>
      <c r="I84" s="122"/>
      <c r="J84" s="122"/>
      <c r="K84" s="155">
        <f>IF(L84=3,SUM(F84:I84)*0.3,0)</f>
        <v>0</v>
      </c>
      <c r="L84" s="31">
        <v>3</v>
      </c>
      <c r="M84" s="32"/>
      <c r="N84" s="33"/>
      <c r="O84" s="31"/>
      <c r="P84" s="44"/>
    </row>
    <row r="85" spans="1:16" x14ac:dyDescent="0.2">
      <c r="A85" s="30" t="s">
        <v>318</v>
      </c>
      <c r="B85" s="30" t="s">
        <v>493</v>
      </c>
      <c r="C85" s="31" t="s">
        <v>50</v>
      </c>
      <c r="D85" s="124">
        <v>1.7899999999999999E-2</v>
      </c>
      <c r="E85" s="155">
        <v>1.7899999999999999E-2</v>
      </c>
      <c r="F85" s="155"/>
      <c r="G85" s="155"/>
      <c r="H85" s="155"/>
      <c r="I85" s="155"/>
      <c r="J85" s="155"/>
      <c r="K85" s="155">
        <f>IF(L85=3,SUM(F85:I85)*0.3,0)</f>
        <v>0</v>
      </c>
      <c r="L85" s="31">
        <v>3</v>
      </c>
      <c r="M85" s="32"/>
      <c r="N85" s="33"/>
      <c r="O85" s="31"/>
      <c r="P85" s="44"/>
    </row>
    <row r="86" spans="1:16" ht="11.45" customHeight="1" x14ac:dyDescent="0.2">
      <c r="A86" s="30" t="s">
        <v>318</v>
      </c>
      <c r="B86" s="30" t="s">
        <v>493</v>
      </c>
      <c r="C86" s="31" t="s">
        <v>299</v>
      </c>
      <c r="D86" s="124">
        <f t="shared" ref="D86:D115" si="25">E86</f>
        <v>57.188498402555908</v>
      </c>
      <c r="E86" s="155">
        <f>E85*$O$86</f>
        <v>57.188498402555908</v>
      </c>
      <c r="F86" s="155"/>
      <c r="G86" s="155"/>
      <c r="H86" s="155"/>
      <c r="I86" s="121"/>
      <c r="J86" s="155"/>
      <c r="K86" s="155"/>
      <c r="L86" s="31">
        <v>3</v>
      </c>
      <c r="M86" s="37" t="s">
        <v>319</v>
      </c>
      <c r="N86" s="33"/>
      <c r="O86" s="158">
        <f>1000/0.313</f>
        <v>3194.8881789137381</v>
      </c>
      <c r="P86" s="44"/>
    </row>
    <row r="87" spans="1:16" x14ac:dyDescent="0.2">
      <c r="A87" s="30" t="s">
        <v>318</v>
      </c>
      <c r="B87" s="30" t="s">
        <v>493</v>
      </c>
      <c r="C87" s="31" t="s">
        <v>48</v>
      </c>
      <c r="D87" s="124">
        <f t="shared" si="25"/>
        <v>33.169329073482423</v>
      </c>
      <c r="E87" s="155">
        <f>$O$87/1000*E86</f>
        <v>33.169329073482423</v>
      </c>
      <c r="F87" s="121"/>
      <c r="G87" s="121"/>
      <c r="H87" s="121"/>
      <c r="I87" s="121"/>
      <c r="J87" s="155"/>
      <c r="K87" s="155"/>
      <c r="L87" s="31">
        <v>3</v>
      </c>
      <c r="M87" s="32" t="s">
        <v>320</v>
      </c>
      <c r="N87" s="33">
        <v>1</v>
      </c>
      <c r="O87" s="31">
        <f>((860-300)/2)+300</f>
        <v>580</v>
      </c>
      <c r="P87" s="44"/>
    </row>
    <row r="88" spans="1:16" x14ac:dyDescent="0.2">
      <c r="A88" s="30" t="s">
        <v>281</v>
      </c>
      <c r="B88" s="30" t="s">
        <v>493</v>
      </c>
      <c r="C88" s="31" t="s">
        <v>165</v>
      </c>
      <c r="D88" s="124">
        <f t="shared" si="25"/>
        <v>4.2629340000000004</v>
      </c>
      <c r="E88" s="155">
        <f>SUM(F88:K88)</f>
        <v>4.2629340000000004</v>
      </c>
      <c r="F88" s="122">
        <f>F65</f>
        <v>0.60472999999999999</v>
      </c>
      <c r="G88" s="155">
        <f>G65</f>
        <v>0.20577000000000001</v>
      </c>
      <c r="H88" s="155">
        <f>H65</f>
        <v>1.0487</v>
      </c>
      <c r="I88" s="155">
        <f>I65</f>
        <v>1.41998</v>
      </c>
      <c r="J88" s="155">
        <f>J65</f>
        <v>0</v>
      </c>
      <c r="K88" s="155">
        <f>IF(L88=3,SUM(F88:I88)*0.3,0)</f>
        <v>0.98375400000000002</v>
      </c>
      <c r="L88" s="31">
        <v>3</v>
      </c>
      <c r="M88" s="32"/>
      <c r="N88" s="33"/>
      <c r="O88" s="31"/>
      <c r="P88" s="44"/>
    </row>
    <row r="89" spans="1:16" x14ac:dyDescent="0.2">
      <c r="A89" s="30" t="s">
        <v>215</v>
      </c>
      <c r="B89" s="30" t="s">
        <v>493</v>
      </c>
      <c r="C89" s="31" t="s">
        <v>165</v>
      </c>
      <c r="D89" s="124">
        <f t="shared" si="25"/>
        <v>0.78947000000000012</v>
      </c>
      <c r="E89" s="155">
        <f>SUM(F89:K89)</f>
        <v>0.78947000000000012</v>
      </c>
      <c r="F89" s="122">
        <v>0.31640000000000001</v>
      </c>
      <c r="G89" s="122">
        <v>0.16600000000000001</v>
      </c>
      <c r="H89" s="122">
        <v>0</v>
      </c>
      <c r="I89" s="122">
        <f>0.1078+0.00023+0.035</f>
        <v>0.14302999999999999</v>
      </c>
      <c r="J89" s="155">
        <v>-2.3588999999999999E-2</v>
      </c>
      <c r="K89" s="155">
        <f>IF(L89=3,SUM(F89:I89)*0.3,0)</f>
        <v>0.18762900000000002</v>
      </c>
      <c r="L89" s="31">
        <v>3</v>
      </c>
      <c r="M89" s="32" t="s">
        <v>580</v>
      </c>
      <c r="N89" s="33">
        <f>10/1000</f>
        <v>0.01</v>
      </c>
      <c r="O89" s="31"/>
      <c r="P89" s="44"/>
    </row>
    <row r="90" spans="1:16" x14ac:dyDescent="0.2">
      <c r="A90" s="30" t="s">
        <v>578</v>
      </c>
      <c r="B90" s="476" t="s">
        <v>493</v>
      </c>
      <c r="C90" s="31" t="s">
        <v>49</v>
      </c>
      <c r="D90" s="124">
        <v>0.27</v>
      </c>
      <c r="E90" s="155">
        <v>0.27</v>
      </c>
      <c r="F90" s="155">
        <v>0.11</v>
      </c>
      <c r="G90" s="155">
        <v>0.03</v>
      </c>
      <c r="H90" s="155">
        <v>0</v>
      </c>
      <c r="I90" s="554">
        <v>0.05</v>
      </c>
      <c r="J90" s="554"/>
      <c r="K90" s="155">
        <v>7.0000000000000007E-2</v>
      </c>
      <c r="L90" s="31">
        <v>3</v>
      </c>
      <c r="M90" s="32" t="s">
        <v>579</v>
      </c>
      <c r="N90" s="33"/>
      <c r="O90" s="31"/>
      <c r="P90" s="44"/>
    </row>
    <row r="91" spans="1:16" x14ac:dyDescent="0.2">
      <c r="A91" s="30" t="s">
        <v>526</v>
      </c>
      <c r="B91" s="30" t="s">
        <v>493</v>
      </c>
      <c r="C91" s="31" t="s">
        <v>50</v>
      </c>
      <c r="D91" s="124">
        <f t="shared" si="25"/>
        <v>2.1860893900000002</v>
      </c>
      <c r="E91" s="155">
        <f>SUM(F91:K91)</f>
        <v>2.1860893900000002</v>
      </c>
      <c r="F91" s="122">
        <v>0.91859999999999997</v>
      </c>
      <c r="G91" s="122">
        <v>0.73709999999999998</v>
      </c>
      <c r="H91" s="122">
        <v>0</v>
      </c>
      <c r="I91" s="122">
        <f>0.02105+0.0000003+0.02578</f>
        <v>4.6830300000000005E-2</v>
      </c>
      <c r="J91" s="155">
        <v>-2.7199999999999998E-2</v>
      </c>
      <c r="K91" s="155">
        <f>IF(L91=3,SUM(F91:I91)*0.3,0)</f>
        <v>0.51075908999999997</v>
      </c>
      <c r="L91" s="31">
        <v>3</v>
      </c>
      <c r="M91" s="32" t="s">
        <v>217</v>
      </c>
      <c r="N91" s="33">
        <v>3.0000000000000001E-3</v>
      </c>
      <c r="O91" s="31">
        <v>0.72</v>
      </c>
      <c r="P91" s="44"/>
    </row>
    <row r="92" spans="1:16" x14ac:dyDescent="0.2">
      <c r="A92" s="30" t="s">
        <v>585</v>
      </c>
      <c r="B92" s="30">
        <v>6.1</v>
      </c>
      <c r="C92" s="31" t="s">
        <v>50</v>
      </c>
      <c r="D92" s="124">
        <f t="shared" si="25"/>
        <v>14.96</v>
      </c>
      <c r="E92" s="155">
        <v>14.96</v>
      </c>
      <c r="F92" s="155">
        <v>4.6100000000000003</v>
      </c>
      <c r="G92" s="155">
        <v>2.61</v>
      </c>
      <c r="H92" s="155">
        <v>0</v>
      </c>
      <c r="I92" s="551">
        <v>3.84</v>
      </c>
      <c r="J92" s="551"/>
      <c r="K92" s="155">
        <f>IF(L92=3,SUM(F92:I92)*0.3,0)</f>
        <v>3.3180000000000001</v>
      </c>
      <c r="L92" s="31">
        <v>3</v>
      </c>
      <c r="M92" s="32" t="s">
        <v>587</v>
      </c>
      <c r="N92" s="33">
        <v>0.4</v>
      </c>
      <c r="O92" s="31"/>
      <c r="P92" s="44"/>
    </row>
    <row r="93" spans="1:16" x14ac:dyDescent="0.2">
      <c r="A93" s="30" t="s">
        <v>586</v>
      </c>
      <c r="B93" s="30">
        <v>6.1</v>
      </c>
      <c r="C93" s="31" t="s">
        <v>50</v>
      </c>
      <c r="D93" s="124">
        <v>14.61</v>
      </c>
      <c r="E93" s="155">
        <v>14.61</v>
      </c>
      <c r="F93" s="155">
        <v>4.47</v>
      </c>
      <c r="G93" s="155">
        <v>2.61</v>
      </c>
      <c r="H93" s="155">
        <v>0</v>
      </c>
      <c r="I93" s="551">
        <v>3.84</v>
      </c>
      <c r="J93" s="551"/>
      <c r="K93" s="155">
        <f>IF(L93=3,SUM(F93:I93)*0.3,0)</f>
        <v>3.2759999999999998</v>
      </c>
      <c r="L93" s="31">
        <v>3</v>
      </c>
      <c r="M93" s="32" t="s">
        <v>587</v>
      </c>
      <c r="N93" s="33">
        <v>0.4</v>
      </c>
      <c r="O93" s="31"/>
      <c r="P93" s="44"/>
    </row>
    <row r="94" spans="1:16" x14ac:dyDescent="0.2">
      <c r="A94" s="30" t="s">
        <v>588</v>
      </c>
      <c r="B94" s="30">
        <v>6.1</v>
      </c>
      <c r="C94" s="31" t="s">
        <v>50</v>
      </c>
      <c r="D94" s="124">
        <f>E94</f>
        <v>5.8530388590604012</v>
      </c>
      <c r="E94" s="155">
        <f>SUM(F94:K94)</f>
        <v>5.8530388590604012</v>
      </c>
      <c r="F94" s="155">
        <f>((Database!T273/Database!T270)*(15/1000))*D127</f>
        <v>1.0178999999999998</v>
      </c>
      <c r="G94" s="155">
        <v>2.61</v>
      </c>
      <c r="H94" s="155">
        <v>0</v>
      </c>
      <c r="I94" s="551">
        <f>F94/F93*I93</f>
        <v>0.87443758389261728</v>
      </c>
      <c r="J94" s="551"/>
      <c r="K94" s="155">
        <f>IF(L94=3,SUM(F94:I94)*0.3,0)</f>
        <v>1.3507012751677849</v>
      </c>
      <c r="L94" s="31">
        <v>3</v>
      </c>
      <c r="M94" s="32" t="s">
        <v>587</v>
      </c>
      <c r="N94" s="33">
        <v>0.4</v>
      </c>
      <c r="O94" s="31"/>
      <c r="P94" s="44"/>
    </row>
    <row r="95" spans="1:16" x14ac:dyDescent="0.2">
      <c r="A95" s="30" t="s">
        <v>591</v>
      </c>
      <c r="B95" s="30">
        <v>6.1</v>
      </c>
      <c r="C95" s="31" t="s">
        <v>50</v>
      </c>
      <c r="D95" s="124">
        <v>34.29</v>
      </c>
      <c r="E95" s="155">
        <v>34.29</v>
      </c>
      <c r="F95" s="155">
        <v>25.96</v>
      </c>
      <c r="G95" s="155">
        <v>2.19</v>
      </c>
      <c r="H95" s="155">
        <v>0</v>
      </c>
      <c r="I95" s="551">
        <v>-3.35</v>
      </c>
      <c r="J95" s="551"/>
      <c r="K95" s="155">
        <v>9.49</v>
      </c>
      <c r="L95" s="31">
        <v>3</v>
      </c>
      <c r="M95" s="32" t="s">
        <v>592</v>
      </c>
      <c r="N95" s="33">
        <f>1000/1000</f>
        <v>1</v>
      </c>
      <c r="O95" s="31">
        <f>(((PI()*(1.015^2)))-((PI()*(1^2))))*7800</f>
        <v>740.64617604705609</v>
      </c>
      <c r="P95" s="44"/>
    </row>
    <row r="96" spans="1:16" x14ac:dyDescent="0.2">
      <c r="A96" s="30" t="s">
        <v>589</v>
      </c>
      <c r="B96" s="30" t="s">
        <v>493</v>
      </c>
      <c r="C96" s="31" t="s">
        <v>194</v>
      </c>
      <c r="D96" s="124">
        <f>D95/O95</f>
        <v>4.6297410435588916E-2</v>
      </c>
      <c r="E96" s="155"/>
      <c r="F96" s="155">
        <f>F95/O95</f>
        <v>3.5050474625485224E-2</v>
      </c>
      <c r="G96" s="155"/>
      <c r="H96" s="155"/>
      <c r="I96" s="478"/>
      <c r="J96" s="478"/>
      <c r="K96" s="155"/>
      <c r="L96" s="31"/>
      <c r="M96" s="32" t="s">
        <v>593</v>
      </c>
      <c r="N96" s="468"/>
      <c r="O96" s="128"/>
      <c r="P96" s="464"/>
    </row>
    <row r="97" spans="1:16" x14ac:dyDescent="0.2">
      <c r="A97" s="30" t="s">
        <v>590</v>
      </c>
      <c r="B97" s="30" t="s">
        <v>493</v>
      </c>
      <c r="C97" s="31" t="s">
        <v>50</v>
      </c>
      <c r="D97" s="124">
        <f>E97</f>
        <v>5.7887311827957166</v>
      </c>
      <c r="E97" s="155">
        <f>SUM(F97:K97)</f>
        <v>5.7887311827957166</v>
      </c>
      <c r="F97" s="480">
        <f>F96*O97</f>
        <v>2.598147229114987</v>
      </c>
      <c r="G97" s="155">
        <f>G95</f>
        <v>2.19</v>
      </c>
      <c r="H97" s="155">
        <v>0</v>
      </c>
      <c r="I97" s="551">
        <f>F97/F95*I95</f>
        <v>-0.335277088502897</v>
      </c>
      <c r="J97" s="551"/>
      <c r="K97" s="155">
        <f>IF(L97=3,SUM(F97:I97)*0.3,0)</f>
        <v>1.335861042183627</v>
      </c>
      <c r="L97" s="31">
        <v>3</v>
      </c>
      <c r="M97" s="32" t="s">
        <v>599</v>
      </c>
      <c r="N97" s="468">
        <v>0.3</v>
      </c>
      <c r="O97" s="31">
        <f>(((PI()*(0.305^2)))-((PI()*(0.3^2))))*7800</f>
        <v>74.125878661451054</v>
      </c>
      <c r="P97" s="44"/>
    </row>
    <row r="98" spans="1:16" x14ac:dyDescent="0.2">
      <c r="A98" s="30" t="s">
        <v>600</v>
      </c>
      <c r="B98" s="30">
        <v>6.1</v>
      </c>
      <c r="C98" s="31" t="s">
        <v>50</v>
      </c>
      <c r="D98" s="124">
        <v>17.95</v>
      </c>
      <c r="E98" s="155"/>
      <c r="F98" s="480"/>
      <c r="G98" s="155"/>
      <c r="H98" s="155"/>
      <c r="I98" s="551"/>
      <c r="J98" s="551"/>
      <c r="K98" s="155"/>
      <c r="L98" s="31">
        <v>3</v>
      </c>
      <c r="M98" s="32" t="s">
        <v>601</v>
      </c>
      <c r="N98" s="468">
        <v>1</v>
      </c>
      <c r="O98" s="31">
        <v>0.64</v>
      </c>
      <c r="P98" s="44"/>
    </row>
    <row r="99" spans="1:16" x14ac:dyDescent="0.2">
      <c r="A99" s="30" t="s">
        <v>195</v>
      </c>
      <c r="B99" s="30" t="s">
        <v>493</v>
      </c>
      <c r="C99" s="31" t="s">
        <v>196</v>
      </c>
      <c r="D99" s="124">
        <f t="shared" si="25"/>
        <v>0.97715300000000016</v>
      </c>
      <c r="E99" s="155">
        <f>SUM(F99:K99)</f>
        <v>0.97715300000000016</v>
      </c>
      <c r="F99" s="155">
        <v>0.89559999999999995</v>
      </c>
      <c r="G99" s="155">
        <v>3.5000000000000003E-2</v>
      </c>
      <c r="H99" s="155">
        <v>0</v>
      </c>
      <c r="I99" s="155">
        <f>0.0025+0.0726+0.00211</f>
        <v>7.7210000000000001E-2</v>
      </c>
      <c r="J99" s="155">
        <v>-0.33300000000000002</v>
      </c>
      <c r="K99" s="155">
        <f>IF(L99=3,SUM(F99:I99)*0.3,0)</f>
        <v>0.30234300000000003</v>
      </c>
      <c r="L99" s="31">
        <v>3</v>
      </c>
      <c r="M99" s="32">
        <f>1.12*0.1*0.03</f>
        <v>3.3600000000000006E-3</v>
      </c>
      <c r="N99" s="33"/>
      <c r="O99" s="31"/>
      <c r="P99" s="44"/>
    </row>
    <row r="100" spans="1:16" x14ac:dyDescent="0.2">
      <c r="A100" s="30" t="s">
        <v>195</v>
      </c>
      <c r="B100" s="30" t="s">
        <v>493</v>
      </c>
      <c r="C100" s="31" t="s">
        <v>48</v>
      </c>
      <c r="D100" s="124">
        <f t="shared" ref="D100:K100" si="26">1/$M$99*D99</f>
        <v>290.81934523809525</v>
      </c>
      <c r="E100" s="155">
        <f t="shared" si="26"/>
        <v>290.81934523809525</v>
      </c>
      <c r="F100" s="155">
        <f t="shared" si="26"/>
        <v>266.54761904761904</v>
      </c>
      <c r="G100" s="155">
        <f t="shared" si="26"/>
        <v>10.416666666666666</v>
      </c>
      <c r="H100" s="155">
        <f t="shared" si="26"/>
        <v>0</v>
      </c>
      <c r="I100" s="155">
        <f t="shared" si="26"/>
        <v>22.979166666666664</v>
      </c>
      <c r="J100" s="155">
        <f t="shared" si="26"/>
        <v>-99.107142857142847</v>
      </c>
      <c r="K100" s="155">
        <f t="shared" si="26"/>
        <v>89.98303571428572</v>
      </c>
      <c r="L100" s="31">
        <v>3</v>
      </c>
      <c r="M100" s="32"/>
      <c r="N100" s="33"/>
      <c r="O100" s="31"/>
      <c r="P100" s="44"/>
    </row>
    <row r="101" spans="1:16" x14ac:dyDescent="0.2">
      <c r="A101" s="30" t="s">
        <v>546</v>
      </c>
      <c r="B101" s="30" t="s">
        <v>493</v>
      </c>
      <c r="C101" s="31" t="s">
        <v>48</v>
      </c>
      <c r="D101" s="124">
        <f>E101</f>
        <v>221.51696428571427</v>
      </c>
      <c r="E101" s="155">
        <f>SUM(F101:K101)</f>
        <v>221.51696428571427</v>
      </c>
      <c r="F101" s="155">
        <f>F100*0.8</f>
        <v>213.23809523809524</v>
      </c>
      <c r="G101" s="155">
        <f>G100</f>
        <v>10.416666666666666</v>
      </c>
      <c r="H101" s="155">
        <f>H100</f>
        <v>0</v>
      </c>
      <c r="I101" s="155">
        <f>I100</f>
        <v>22.979166666666664</v>
      </c>
      <c r="J101" s="155">
        <f>J100</f>
        <v>-99.107142857142847</v>
      </c>
      <c r="K101" s="155">
        <f t="shared" ref="K101:K107" si="27">IF(L101=3,SUM(F101:I101)*0.3,0)</f>
        <v>73.990178571428558</v>
      </c>
      <c r="L101" s="31">
        <v>3</v>
      </c>
      <c r="M101" s="32"/>
      <c r="N101" s="33"/>
      <c r="O101" s="31"/>
      <c r="P101" s="44"/>
    </row>
    <row r="102" spans="1:16" x14ac:dyDescent="0.2">
      <c r="A102" s="30" t="s">
        <v>527</v>
      </c>
      <c r="B102" s="30" t="s">
        <v>493</v>
      </c>
      <c r="C102" s="31" t="s">
        <v>49</v>
      </c>
      <c r="D102" s="124">
        <f t="shared" si="25"/>
        <v>131.04798199999999</v>
      </c>
      <c r="E102" s="155">
        <f>SUM(F102:K102)</f>
        <v>131.04798199999999</v>
      </c>
      <c r="F102" s="155">
        <v>245.07</v>
      </c>
      <c r="G102" s="155">
        <v>7.9985999999999997</v>
      </c>
      <c r="H102" s="155">
        <v>0</v>
      </c>
      <c r="I102" s="155">
        <f>0.96325+0.02569+0.1406+0</f>
        <v>1.12954</v>
      </c>
      <c r="J102" s="155">
        <v>-199.40960000000001</v>
      </c>
      <c r="K102" s="155">
        <f t="shared" si="27"/>
        <v>76.259441999999993</v>
      </c>
      <c r="L102" s="31">
        <v>3</v>
      </c>
      <c r="M102" s="32"/>
      <c r="N102" s="33">
        <f>4/1000</f>
        <v>4.0000000000000001E-3</v>
      </c>
      <c r="O102" s="31"/>
      <c r="P102" s="44"/>
    </row>
    <row r="103" spans="1:16" x14ac:dyDescent="0.2">
      <c r="A103" s="30" t="s">
        <v>203</v>
      </c>
      <c r="B103" s="30" t="s">
        <v>493</v>
      </c>
      <c r="C103" s="31" t="s">
        <v>50</v>
      </c>
      <c r="D103" s="124">
        <v>9.1385000000000005</v>
      </c>
      <c r="E103" s="155">
        <v>9.1385000000000005</v>
      </c>
      <c r="F103" s="155"/>
      <c r="G103" s="155"/>
      <c r="H103" s="155"/>
      <c r="I103" s="155"/>
      <c r="J103" s="155"/>
      <c r="K103" s="155">
        <f t="shared" si="27"/>
        <v>0</v>
      </c>
      <c r="L103" s="31">
        <v>3</v>
      </c>
      <c r="M103" s="32" t="s">
        <v>204</v>
      </c>
      <c r="N103" s="33"/>
      <c r="O103" s="31">
        <v>1.17</v>
      </c>
      <c r="P103" s="44"/>
    </row>
    <row r="104" spans="1:16" x14ac:dyDescent="0.2">
      <c r="A104" s="30" t="s">
        <v>203</v>
      </c>
      <c r="B104" s="30" t="s">
        <v>493</v>
      </c>
      <c r="C104" s="31" t="s">
        <v>194</v>
      </c>
      <c r="D104" s="124">
        <f>1/1.17*D103</f>
        <v>7.8106837606837614</v>
      </c>
      <c r="E104" s="155">
        <f>1/1.17*E103</f>
        <v>7.8106837606837614</v>
      </c>
      <c r="F104" s="155"/>
      <c r="G104" s="155"/>
      <c r="H104" s="155"/>
      <c r="I104" s="155"/>
      <c r="J104" s="155"/>
      <c r="K104" s="155">
        <f t="shared" si="27"/>
        <v>0</v>
      </c>
      <c r="L104" s="31">
        <v>3</v>
      </c>
      <c r="M104" s="32"/>
      <c r="N104" s="33"/>
      <c r="O104" s="31"/>
      <c r="P104" s="44"/>
    </row>
    <row r="105" spans="1:16" x14ac:dyDescent="0.2">
      <c r="A105" s="30" t="s">
        <v>203</v>
      </c>
      <c r="B105" s="30" t="s">
        <v>493</v>
      </c>
      <c r="C105" s="31" t="s">
        <v>48</v>
      </c>
      <c r="D105" s="472">
        <f>D104*7930</f>
        <v>61938.722222222226</v>
      </c>
      <c r="E105" s="121">
        <f>E104*7930</f>
        <v>61938.722222222226</v>
      </c>
      <c r="F105" s="155"/>
      <c r="G105" s="155"/>
      <c r="H105" s="155"/>
      <c r="I105" s="155"/>
      <c r="J105" s="155"/>
      <c r="K105" s="155">
        <f t="shared" si="27"/>
        <v>0</v>
      </c>
      <c r="L105" s="31">
        <v>3</v>
      </c>
      <c r="M105" s="32" t="s">
        <v>205</v>
      </c>
      <c r="N105" s="33"/>
      <c r="O105" s="31">
        <v>7930</v>
      </c>
      <c r="P105" s="44"/>
    </row>
    <row r="106" spans="1:16" x14ac:dyDescent="0.2">
      <c r="A106" s="30" t="s">
        <v>557</v>
      </c>
      <c r="B106" s="30" t="s">
        <v>493</v>
      </c>
      <c r="C106" s="31" t="s">
        <v>49</v>
      </c>
      <c r="D106" s="124">
        <f t="shared" si="25"/>
        <v>0.84833299999999978</v>
      </c>
      <c r="E106" s="155">
        <f>SUM(F106:K106)</f>
        <v>0.84833299999999978</v>
      </c>
      <c r="F106" s="122">
        <v>3.2715999999999998</v>
      </c>
      <c r="G106" s="122">
        <f>0.4039+0.0144</f>
        <v>0.41830000000000001</v>
      </c>
      <c r="H106" s="122">
        <v>8.3400000000000002E-2</v>
      </c>
      <c r="I106" s="122">
        <f>0.001043+0.0475+0.00433+0.00012</f>
        <v>5.2993000000000005E-2</v>
      </c>
      <c r="J106" s="122">
        <v>-2.9779599999999999</v>
      </c>
      <c r="K106" s="155">
        <f t="shared" si="27"/>
        <v>0</v>
      </c>
      <c r="L106" s="31">
        <v>2</v>
      </c>
      <c r="M106" s="32" t="s">
        <v>199</v>
      </c>
      <c r="N106" s="33">
        <v>0.1</v>
      </c>
      <c r="O106" s="31"/>
      <c r="P106" s="44"/>
    </row>
    <row r="107" spans="1:16" x14ac:dyDescent="0.2">
      <c r="A107" s="30" t="s">
        <v>313</v>
      </c>
      <c r="B107" s="30" t="s">
        <v>493</v>
      </c>
      <c r="C107" s="31" t="s">
        <v>48</v>
      </c>
      <c r="D107" s="124">
        <f t="shared" si="25"/>
        <v>12.085543999999999</v>
      </c>
      <c r="E107" s="155">
        <f>SUM(F107:K107)</f>
        <v>12.085543999999999</v>
      </c>
      <c r="F107" s="155">
        <v>8.3478999999999992</v>
      </c>
      <c r="G107" s="155">
        <v>0.38600000000000001</v>
      </c>
      <c r="H107" s="155">
        <v>0</v>
      </c>
      <c r="I107" s="155">
        <f>0.4077+0.263+0.0922+0.00408</f>
        <v>0.76698000000000011</v>
      </c>
      <c r="J107" s="155">
        <v>-0.2656</v>
      </c>
      <c r="K107" s="155">
        <f t="shared" si="27"/>
        <v>2.8502639999999997</v>
      </c>
      <c r="L107" s="31">
        <v>3</v>
      </c>
      <c r="M107" s="32" t="s">
        <v>528</v>
      </c>
      <c r="N107" s="33"/>
      <c r="O107" s="31"/>
      <c r="P107" s="44"/>
    </row>
    <row r="108" spans="1:16" x14ac:dyDescent="0.2">
      <c r="A108" s="30" t="s">
        <v>313</v>
      </c>
      <c r="B108" s="30" t="s">
        <v>493</v>
      </c>
      <c r="C108" s="31" t="s">
        <v>49</v>
      </c>
      <c r="D108" s="124">
        <f t="shared" ref="D108:J108" si="28">D107*$N$108</f>
        <v>1.2085543999999999</v>
      </c>
      <c r="E108" s="155">
        <f t="shared" si="28"/>
        <v>1.2085543999999999</v>
      </c>
      <c r="F108" s="155">
        <f t="shared" si="28"/>
        <v>0.83478999999999992</v>
      </c>
      <c r="G108" s="155">
        <f t="shared" si="28"/>
        <v>3.8600000000000002E-2</v>
      </c>
      <c r="H108" s="155">
        <f t="shared" si="28"/>
        <v>0</v>
      </c>
      <c r="I108" s="155">
        <f t="shared" si="28"/>
        <v>7.6698000000000016E-2</v>
      </c>
      <c r="J108" s="155">
        <f t="shared" si="28"/>
        <v>-2.656E-2</v>
      </c>
      <c r="K108" s="155"/>
      <c r="L108" s="31">
        <v>3</v>
      </c>
      <c r="M108" s="32" t="s">
        <v>214</v>
      </c>
      <c r="N108" s="33">
        <v>0.1</v>
      </c>
      <c r="O108" s="31"/>
      <c r="P108" s="44"/>
    </row>
    <row r="109" spans="1:16" x14ac:dyDescent="0.2">
      <c r="A109" s="30" t="s">
        <v>626</v>
      </c>
      <c r="B109" s="30">
        <v>6.1</v>
      </c>
      <c r="C109" s="31" t="s">
        <v>49</v>
      </c>
      <c r="D109" s="124">
        <v>5.63</v>
      </c>
      <c r="E109" s="155">
        <v>5.63</v>
      </c>
      <c r="F109" s="155">
        <v>5.79</v>
      </c>
      <c r="G109" s="155">
        <v>0.3</v>
      </c>
      <c r="H109" s="155">
        <v>0</v>
      </c>
      <c r="I109" s="551">
        <v>-2.2999999999999998</v>
      </c>
      <c r="J109" s="551"/>
      <c r="K109" s="155">
        <v>1.84</v>
      </c>
      <c r="L109" s="31">
        <v>3</v>
      </c>
      <c r="M109" s="32" t="s">
        <v>627</v>
      </c>
      <c r="N109" s="33">
        <f>30/1000</f>
        <v>0.03</v>
      </c>
      <c r="O109" s="31"/>
      <c r="P109" s="44"/>
    </row>
    <row r="110" spans="1:16" x14ac:dyDescent="0.2">
      <c r="A110" s="30" t="s">
        <v>210</v>
      </c>
      <c r="B110" s="30" t="s">
        <v>493</v>
      </c>
      <c r="C110" s="31" t="s">
        <v>49</v>
      </c>
      <c r="D110" s="124">
        <f t="shared" si="25"/>
        <v>2.3058020000000004</v>
      </c>
      <c r="E110" s="155">
        <f>SUM(F110:K110)</f>
        <v>2.3058020000000004</v>
      </c>
      <c r="F110" s="155">
        <v>1.2665999999999999</v>
      </c>
      <c r="G110" s="155">
        <v>0.77090000000000003</v>
      </c>
      <c r="H110" s="155">
        <v>0</v>
      </c>
      <c r="I110" s="155">
        <f>0.019+0.6485+0.0163+0.00624</f>
        <v>0.69003999999999999</v>
      </c>
      <c r="J110" s="155">
        <v>-1.24</v>
      </c>
      <c r="K110" s="155">
        <f>IF(L110=3,SUM(F110:I110)*0.3,0)</f>
        <v>0.81826200000000004</v>
      </c>
      <c r="L110" s="31">
        <v>3</v>
      </c>
      <c r="M110" s="32" t="s">
        <v>529</v>
      </c>
      <c r="N110" s="33">
        <v>0.4</v>
      </c>
      <c r="O110" s="31"/>
      <c r="P110" s="44"/>
    </row>
    <row r="111" spans="1:16" x14ac:dyDescent="0.2">
      <c r="A111" s="30" t="s">
        <v>617</v>
      </c>
      <c r="B111" s="30">
        <v>6.1</v>
      </c>
      <c r="C111" s="31" t="s">
        <v>50</v>
      </c>
      <c r="D111" s="124">
        <v>1.86</v>
      </c>
      <c r="E111" s="155">
        <v>1.86</v>
      </c>
      <c r="F111" s="155">
        <v>1.94</v>
      </c>
      <c r="G111" s="155">
        <v>0.09</v>
      </c>
      <c r="H111" s="155">
        <v>0</v>
      </c>
      <c r="I111" s="551">
        <v>-0.78</v>
      </c>
      <c r="J111" s="551"/>
      <c r="K111" s="155">
        <v>0.62</v>
      </c>
      <c r="L111" s="31">
        <v>3</v>
      </c>
      <c r="M111" s="32" t="s">
        <v>621</v>
      </c>
      <c r="N111" s="33"/>
      <c r="O111" s="31"/>
      <c r="P111" s="44"/>
    </row>
    <row r="112" spans="1:16" x14ac:dyDescent="0.2">
      <c r="A112" s="30" t="s">
        <v>618</v>
      </c>
      <c r="B112" s="30">
        <v>6.1</v>
      </c>
      <c r="C112" s="31" t="s">
        <v>50</v>
      </c>
      <c r="D112" s="124">
        <v>7.61</v>
      </c>
      <c r="E112" s="155">
        <v>7.61</v>
      </c>
      <c r="F112" s="155">
        <v>6.58</v>
      </c>
      <c r="G112" s="155">
        <v>0.64</v>
      </c>
      <c r="H112" s="155">
        <v>0</v>
      </c>
      <c r="I112" s="551">
        <v>-1.89</v>
      </c>
      <c r="J112" s="551"/>
      <c r="K112" s="155">
        <v>2.29</v>
      </c>
      <c r="L112" s="31">
        <v>3</v>
      </c>
      <c r="M112" s="32" t="s">
        <v>622</v>
      </c>
      <c r="N112" s="33"/>
      <c r="O112" s="31"/>
      <c r="P112" s="44"/>
    </row>
    <row r="113" spans="1:16" x14ac:dyDescent="0.2">
      <c r="A113" s="30" t="s">
        <v>575</v>
      </c>
      <c r="B113" s="30" t="s">
        <v>493</v>
      </c>
      <c r="C113" s="34" t="s">
        <v>49</v>
      </c>
      <c r="D113" s="124">
        <f t="shared" si="25"/>
        <v>78.145005000000026</v>
      </c>
      <c r="E113" s="155">
        <f>SUM(F113:K113)</f>
        <v>78.145005000000026</v>
      </c>
      <c r="F113" s="155">
        <v>158.15</v>
      </c>
      <c r="G113" s="155">
        <v>5.5</v>
      </c>
      <c r="H113" s="155"/>
      <c r="I113" s="155">
        <f>0.963+0.0907+0.00015</f>
        <v>1.0538500000000002</v>
      </c>
      <c r="J113" s="155">
        <v>-135.97</v>
      </c>
      <c r="K113" s="155">
        <f>IF(L113=3,SUM(F113:I113)*0.3,0)</f>
        <v>49.411155000000001</v>
      </c>
      <c r="L113" s="34">
        <v>3</v>
      </c>
      <c r="N113" s="40">
        <v>2E-3</v>
      </c>
      <c r="P113" s="44"/>
    </row>
    <row r="114" spans="1:16" x14ac:dyDescent="0.2">
      <c r="A114" s="30" t="s">
        <v>576</v>
      </c>
      <c r="B114" s="30" t="s">
        <v>493</v>
      </c>
      <c r="C114" s="34" t="s">
        <v>49</v>
      </c>
      <c r="D114" s="124">
        <f t="shared" si="25"/>
        <v>12.136989999999999</v>
      </c>
      <c r="E114" s="155">
        <f>SUM(F114:K114)</f>
        <v>12.136989999999999</v>
      </c>
      <c r="F114" s="155">
        <v>9.0399999999999991</v>
      </c>
      <c r="G114" s="155">
        <v>1.2816000000000001</v>
      </c>
      <c r="H114" s="155">
        <v>0</v>
      </c>
      <c r="I114" s="155">
        <f>0.959+0.0017</f>
        <v>0.9607</v>
      </c>
      <c r="J114" s="155">
        <v>-2.5299999999999998</v>
      </c>
      <c r="K114" s="155">
        <f>IF(L114=3,SUM(F114:I114)*0.3,0)</f>
        <v>3.3846899999999995</v>
      </c>
      <c r="L114" s="34">
        <v>3</v>
      </c>
      <c r="N114" s="40">
        <v>2E-3</v>
      </c>
      <c r="P114" s="44"/>
    </row>
    <row r="115" spans="1:16" s="125" customFormat="1" x14ac:dyDescent="0.2">
      <c r="A115" s="36" t="s">
        <v>577</v>
      </c>
      <c r="B115" s="30" t="s">
        <v>493</v>
      </c>
      <c r="C115" s="34" t="s">
        <v>49</v>
      </c>
      <c r="D115" s="124">
        <f t="shared" si="25"/>
        <v>25.899532999999998</v>
      </c>
      <c r="E115" s="155">
        <f>SUM(F115:K115)</f>
        <v>25.899532999999998</v>
      </c>
      <c r="F115" s="155">
        <v>15.58611</v>
      </c>
      <c r="G115" s="155">
        <v>1.4811000000000001</v>
      </c>
      <c r="H115" s="155">
        <v>0</v>
      </c>
      <c r="I115" s="155">
        <f>0.9597+2.9135</f>
        <v>3.8731999999999998</v>
      </c>
      <c r="J115" s="155">
        <v>-1.323</v>
      </c>
      <c r="K115" s="155">
        <f>IF(L115=3,SUM(F115:I115)*0.3,0)</f>
        <v>6.2821229999999995</v>
      </c>
      <c r="L115" s="34">
        <v>3</v>
      </c>
      <c r="M115" s="38"/>
      <c r="N115" s="40">
        <v>2E-3</v>
      </c>
      <c r="O115" s="41"/>
      <c r="P115" s="44"/>
    </row>
    <row r="116" spans="1:16" s="125" customFormat="1" x14ac:dyDescent="0.2">
      <c r="A116" s="36" t="s">
        <v>644</v>
      </c>
      <c r="B116" s="30">
        <v>6.1</v>
      </c>
      <c r="C116" s="34" t="s">
        <v>49</v>
      </c>
      <c r="D116" s="124">
        <v>3.08</v>
      </c>
      <c r="E116" s="155">
        <v>3.08</v>
      </c>
      <c r="F116" s="155"/>
      <c r="G116" s="155"/>
      <c r="H116" s="155"/>
      <c r="I116" s="155"/>
      <c r="J116" s="155"/>
      <c r="K116" s="155"/>
      <c r="L116" s="34"/>
      <c r="M116" s="38" t="s">
        <v>645</v>
      </c>
      <c r="N116" s="40"/>
      <c r="O116" s="41"/>
      <c r="P116" s="44"/>
    </row>
    <row r="117" spans="1:16" x14ac:dyDescent="0.2">
      <c r="A117" s="30" t="s">
        <v>496</v>
      </c>
      <c r="B117" s="30" t="s">
        <v>493</v>
      </c>
      <c r="C117" s="31" t="s">
        <v>48</v>
      </c>
      <c r="D117" s="124">
        <f>1/0.1*D46</f>
        <v>20.03916666666667</v>
      </c>
      <c r="E117" s="155">
        <f>1/0.1*E46</f>
        <v>20.03916666666667</v>
      </c>
      <c r="F117" s="155" t="s">
        <v>530</v>
      </c>
      <c r="G117" s="155">
        <f>1/0.1*G46</f>
        <v>2</v>
      </c>
      <c r="H117" s="155">
        <f>1/0.1*H46</f>
        <v>0</v>
      </c>
      <c r="I117" s="155">
        <f>1/0.1*I46</f>
        <v>3.4916666666666671</v>
      </c>
      <c r="J117" s="155">
        <f>1/0.1*J46</f>
        <v>-12.883333333333333</v>
      </c>
      <c r="K117" s="155">
        <f>1/0.1*K46</f>
        <v>7.5975000000000001</v>
      </c>
      <c r="L117" s="31">
        <v>3</v>
      </c>
      <c r="M117" s="32"/>
      <c r="N117" s="33">
        <v>1</v>
      </c>
      <c r="O117" s="31"/>
      <c r="P117" s="44" t="s">
        <v>497</v>
      </c>
    </row>
    <row r="118" spans="1:16" s="268" customFormat="1" ht="13.5" customHeight="1" thickBot="1" x14ac:dyDescent="0.25">
      <c r="A118" s="269"/>
      <c r="B118" s="269"/>
      <c r="C118" s="269"/>
      <c r="D118" s="564" t="s">
        <v>286</v>
      </c>
      <c r="E118" s="560" t="s">
        <v>395</v>
      </c>
      <c r="F118" s="270" t="s">
        <v>290</v>
      </c>
      <c r="G118" s="270"/>
      <c r="H118" s="270"/>
      <c r="I118" s="270"/>
      <c r="J118" s="270"/>
      <c r="K118" s="560" t="s">
        <v>283</v>
      </c>
      <c r="L118" s="552" t="s">
        <v>187</v>
      </c>
      <c r="M118" s="555" t="s">
        <v>230</v>
      </c>
      <c r="N118" s="552" t="s">
        <v>188</v>
      </c>
      <c r="O118" s="552" t="s">
        <v>236</v>
      </c>
      <c r="P118" s="562" t="s">
        <v>158</v>
      </c>
    </row>
    <row r="119" spans="1:16" s="271" customFormat="1" ht="15" customHeight="1" thickTop="1" thickBot="1" x14ac:dyDescent="0.3">
      <c r="A119" s="271" t="s">
        <v>350</v>
      </c>
      <c r="B119" s="271" t="s">
        <v>305</v>
      </c>
      <c r="C119" s="272" t="s">
        <v>285</v>
      </c>
      <c r="D119" s="565"/>
      <c r="E119" s="561"/>
      <c r="F119" s="112" t="s">
        <v>291</v>
      </c>
      <c r="G119" s="112" t="s">
        <v>292</v>
      </c>
      <c r="H119" s="112" t="s">
        <v>282</v>
      </c>
      <c r="I119" s="112" t="s">
        <v>293</v>
      </c>
      <c r="J119" s="112" t="s">
        <v>294</v>
      </c>
      <c r="K119" s="561"/>
      <c r="L119" s="553"/>
      <c r="M119" s="556"/>
      <c r="N119" s="553"/>
      <c r="O119" s="553"/>
      <c r="P119" s="563"/>
    </row>
    <row r="120" spans="1:16" s="268" customFormat="1" ht="12.75" outlineLevel="1" thickTop="1" x14ac:dyDescent="0.2">
      <c r="A120" s="261" t="s">
        <v>342</v>
      </c>
      <c r="B120" s="261" t="s">
        <v>343</v>
      </c>
      <c r="C120" s="262" t="s">
        <v>299</v>
      </c>
      <c r="D120" s="263">
        <f>E120</f>
        <v>6.6899999999999995</v>
      </c>
      <c r="E120" s="264">
        <f>SUM(F120:K120)</f>
        <v>6.6899999999999995</v>
      </c>
      <c r="F120" s="264">
        <v>4.8099999999999996</v>
      </c>
      <c r="G120" s="264">
        <v>0.89999999999999991</v>
      </c>
      <c r="H120" s="264">
        <v>0.08</v>
      </c>
      <c r="I120" s="264">
        <v>0.89999999999999991</v>
      </c>
      <c r="J120" s="264">
        <v>0</v>
      </c>
      <c r="K120" s="264"/>
      <c r="L120" s="262" t="s">
        <v>344</v>
      </c>
      <c r="M120" s="265"/>
      <c r="N120" s="266"/>
      <c r="O120" s="267"/>
      <c r="P120" s="267"/>
    </row>
    <row r="121" spans="1:16" s="268" customFormat="1" outlineLevel="1" x14ac:dyDescent="0.2">
      <c r="A121" s="261" t="s">
        <v>342</v>
      </c>
      <c r="B121" s="261" t="s">
        <v>343</v>
      </c>
      <c r="C121" s="31" t="s">
        <v>48</v>
      </c>
      <c r="D121" s="263">
        <f t="shared" ref="D121:D125" si="29">E121</f>
        <v>16.724999999999998</v>
      </c>
      <c r="E121" s="264">
        <f>SUM(F121:K121)</f>
        <v>16.724999999999998</v>
      </c>
      <c r="F121" s="155">
        <f>F120*$O$11</f>
        <v>12.024999999999999</v>
      </c>
      <c r="G121" s="155">
        <f>G120*$O$11</f>
        <v>2.25</v>
      </c>
      <c r="H121" s="155">
        <f>H120*$O$11</f>
        <v>0.2</v>
      </c>
      <c r="I121" s="155">
        <f>I120*$O$11</f>
        <v>2.25</v>
      </c>
      <c r="J121" s="155">
        <f>J120*$O$11</f>
        <v>0</v>
      </c>
      <c r="K121" s="264">
        <f>IF(L121=3,SUM(F121:I121)*0.3,0)</f>
        <v>0</v>
      </c>
      <c r="L121" s="31">
        <v>2</v>
      </c>
      <c r="M121" s="32" t="s">
        <v>209</v>
      </c>
      <c r="N121" s="33"/>
      <c r="O121" s="31">
        <v>2.5</v>
      </c>
      <c r="P121" s="267"/>
    </row>
    <row r="122" spans="1:16" s="268" customFormat="1" outlineLevel="1" x14ac:dyDescent="0.2">
      <c r="A122" s="261" t="s">
        <v>351</v>
      </c>
      <c r="B122" s="261" t="s">
        <v>343</v>
      </c>
      <c r="C122" s="31" t="s">
        <v>49</v>
      </c>
      <c r="D122" s="263">
        <f t="shared" si="29"/>
        <v>0.41812500000000002</v>
      </c>
      <c r="E122" s="264">
        <f>SUM(F122:K122)</f>
        <v>0.41812500000000002</v>
      </c>
      <c r="F122" s="155">
        <f>F121*$N$12</f>
        <v>0.30062499999999998</v>
      </c>
      <c r="G122" s="155">
        <f>G121*$N$12</f>
        <v>5.6250000000000001E-2</v>
      </c>
      <c r="H122" s="155">
        <f>H121*$N$12</f>
        <v>5.000000000000001E-3</v>
      </c>
      <c r="I122" s="155">
        <f>I121*$N$12</f>
        <v>5.6250000000000001E-2</v>
      </c>
      <c r="J122" s="155">
        <v>0</v>
      </c>
      <c r="K122" s="264">
        <f>IF(L122=3,SUM(F122:I122)*0.3,0)</f>
        <v>0</v>
      </c>
      <c r="L122" s="31">
        <v>2</v>
      </c>
      <c r="M122" s="32"/>
      <c r="N122" s="33">
        <v>2.5000000000000001E-2</v>
      </c>
      <c r="O122" s="31"/>
      <c r="P122" s="267"/>
    </row>
    <row r="123" spans="1:16" s="268" customFormat="1" outlineLevel="1" x14ac:dyDescent="0.2">
      <c r="A123" s="261" t="s">
        <v>345</v>
      </c>
      <c r="B123" s="261" t="s">
        <v>346</v>
      </c>
      <c r="C123" s="262" t="s">
        <v>48</v>
      </c>
      <c r="D123" s="263">
        <f t="shared" si="29"/>
        <v>42.389249999999997</v>
      </c>
      <c r="E123" s="264">
        <v>42.389249999999997</v>
      </c>
      <c r="F123" s="264">
        <v>24.477999999999998</v>
      </c>
      <c r="G123" s="264">
        <v>4.37</v>
      </c>
      <c r="H123" s="264"/>
      <c r="I123" s="264">
        <v>4.5744999999999996</v>
      </c>
      <c r="J123" s="264">
        <v>-1.06</v>
      </c>
      <c r="K123" s="264">
        <v>10.02675</v>
      </c>
      <c r="L123" s="262">
        <v>3</v>
      </c>
      <c r="M123" s="265"/>
      <c r="N123" s="266"/>
      <c r="O123" s="267"/>
      <c r="P123" s="267"/>
    </row>
    <row r="124" spans="1:16" s="268" customFormat="1" outlineLevel="1" x14ac:dyDescent="0.2">
      <c r="A124" s="261" t="s">
        <v>347</v>
      </c>
      <c r="B124" s="261" t="s">
        <v>346</v>
      </c>
      <c r="C124" s="262" t="s">
        <v>48</v>
      </c>
      <c r="D124" s="263">
        <f t="shared" si="29"/>
        <v>42.544250000000005</v>
      </c>
      <c r="E124" s="264">
        <v>42.544250000000005</v>
      </c>
      <c r="F124" s="264">
        <v>24.727999999999998</v>
      </c>
      <c r="G124" s="264">
        <v>4.37</v>
      </c>
      <c r="H124" s="264"/>
      <c r="I124" s="264">
        <v>4.5744999999999996</v>
      </c>
      <c r="J124" s="264">
        <v>-1.23</v>
      </c>
      <c r="K124" s="264">
        <v>10.101749999999999</v>
      </c>
      <c r="L124" s="262">
        <v>3</v>
      </c>
      <c r="M124" s="265"/>
      <c r="N124" s="266"/>
      <c r="O124" s="267"/>
      <c r="P124" s="267"/>
    </row>
    <row r="125" spans="1:16" s="268" customFormat="1" outlineLevel="1" x14ac:dyDescent="0.2">
      <c r="A125" s="261" t="s">
        <v>348</v>
      </c>
      <c r="B125" s="261" t="s">
        <v>493</v>
      </c>
      <c r="C125" s="262" t="s">
        <v>165</v>
      </c>
      <c r="D125" s="263">
        <f t="shared" si="29"/>
        <v>11.018948251996449</v>
      </c>
      <c r="E125" s="264">
        <f t="shared" ref="E125:K125" si="30">($E$123/$E$124)*E31</f>
        <v>11.018948251996449</v>
      </c>
      <c r="F125" s="264">
        <f t="shared" si="30"/>
        <v>6.1574846189555563</v>
      </c>
      <c r="G125" s="264">
        <f t="shared" si="30"/>
        <v>1.9130049301609497</v>
      </c>
      <c r="H125" s="264">
        <f t="shared" si="30"/>
        <v>0</v>
      </c>
      <c r="I125" s="264">
        <f t="shared" si="30"/>
        <v>0.71219579379117037</v>
      </c>
      <c r="J125" s="264">
        <f t="shared" si="30"/>
        <v>-0.39854269378353124</v>
      </c>
      <c r="K125" s="264">
        <f t="shared" si="30"/>
        <v>2.6348056028723028</v>
      </c>
      <c r="L125" s="262">
        <v>3</v>
      </c>
      <c r="M125" s="265" t="str">
        <f>M31</f>
        <v xml:space="preserve">Wanddikte 0,245 m </v>
      </c>
      <c r="N125" s="266">
        <f>N31</f>
        <v>0.245</v>
      </c>
      <c r="O125" s="267"/>
      <c r="P125" s="267"/>
    </row>
    <row r="126" spans="1:16" s="268" customFormat="1" outlineLevel="1" x14ac:dyDescent="0.2">
      <c r="A126" s="261" t="s">
        <v>657</v>
      </c>
      <c r="B126" s="261" t="s">
        <v>539</v>
      </c>
      <c r="C126" s="262" t="s">
        <v>49</v>
      </c>
      <c r="D126" s="263">
        <f>E126</f>
        <v>11.721034</v>
      </c>
      <c r="E126" s="264">
        <f>SUM(F126:K126)</f>
        <v>11.721034</v>
      </c>
      <c r="F126" s="264">
        <f>F128*N38</f>
        <v>4.4615339999999994</v>
      </c>
      <c r="G126" s="264">
        <f>G38</f>
        <v>0.86</v>
      </c>
      <c r="H126" s="264">
        <f>H38</f>
        <v>0</v>
      </c>
      <c r="I126" s="264">
        <f>I38</f>
        <v>4.6349999999999998</v>
      </c>
      <c r="J126" s="264">
        <f>J38</f>
        <v>-1.84</v>
      </c>
      <c r="K126" s="264">
        <f>K38</f>
        <v>3.6044999999999998</v>
      </c>
      <c r="L126" s="262">
        <v>3</v>
      </c>
      <c r="M126" s="265"/>
      <c r="N126" s="266">
        <v>0.02</v>
      </c>
      <c r="O126" s="267"/>
      <c r="P126" s="267"/>
    </row>
    <row r="127" spans="1:16" s="268" customFormat="1" outlineLevel="1" x14ac:dyDescent="0.2">
      <c r="A127" s="261" t="s">
        <v>349</v>
      </c>
      <c r="B127" s="261" t="s">
        <v>540</v>
      </c>
      <c r="C127" s="262" t="s">
        <v>299</v>
      </c>
      <c r="D127" s="263">
        <f>E127</f>
        <v>678.6</v>
      </c>
      <c r="E127" s="264">
        <f>SUM(F127:K127)</f>
        <v>678.6</v>
      </c>
      <c r="F127" s="264">
        <v>522</v>
      </c>
      <c r="G127" s="264">
        <v>0</v>
      </c>
      <c r="H127" s="264">
        <v>0</v>
      </c>
      <c r="I127" s="264">
        <v>0</v>
      </c>
      <c r="J127" s="264">
        <v>0</v>
      </c>
      <c r="K127" s="264">
        <f>IF(L127=3,SUM(F127:I127)*0.3,0)</f>
        <v>156.6</v>
      </c>
      <c r="L127" s="262">
        <v>3</v>
      </c>
      <c r="M127" s="265" t="s">
        <v>542</v>
      </c>
      <c r="N127" s="266"/>
      <c r="O127" s="267"/>
      <c r="P127" s="267"/>
    </row>
    <row r="128" spans="1:16" s="268" customFormat="1" outlineLevel="1" x14ac:dyDescent="0.2">
      <c r="A128" s="261" t="s">
        <v>349</v>
      </c>
      <c r="B128" s="261" t="s">
        <v>541</v>
      </c>
      <c r="C128" s="262" t="s">
        <v>48</v>
      </c>
      <c r="D128" s="263">
        <f>0.407*D127</f>
        <v>276.1902</v>
      </c>
      <c r="E128" s="264">
        <f>SUM(F128:K128)</f>
        <v>276.19019999999995</v>
      </c>
      <c r="F128" s="264">
        <f>0.407*F127</f>
        <v>212.45399999999998</v>
      </c>
      <c r="G128" s="264">
        <f>0.407*G127</f>
        <v>0</v>
      </c>
      <c r="H128" s="264">
        <f>0.407*H127</f>
        <v>0</v>
      </c>
      <c r="I128" s="264">
        <f>0.407*I127</f>
        <v>0</v>
      </c>
      <c r="J128" s="264">
        <f>0.407*J127</f>
        <v>0</v>
      </c>
      <c r="K128" s="264">
        <f>IF(L128=3,SUM(F128:I128)*0.3,0)</f>
        <v>63.73619999999999</v>
      </c>
      <c r="L128" s="262">
        <v>3</v>
      </c>
      <c r="M128" s="265"/>
      <c r="N128" s="266"/>
      <c r="O128" s="267"/>
      <c r="P128" s="267"/>
    </row>
    <row r="129" spans="1:16" s="268" customFormat="1" outlineLevel="1" x14ac:dyDescent="0.2">
      <c r="A129" s="261" t="s">
        <v>582</v>
      </c>
      <c r="B129" s="261">
        <v>6.1</v>
      </c>
      <c r="C129" s="262" t="s">
        <v>49</v>
      </c>
      <c r="D129" s="263">
        <v>8.19</v>
      </c>
      <c r="E129" s="264">
        <v>8.19</v>
      </c>
      <c r="F129" s="264">
        <v>4.88</v>
      </c>
      <c r="G129" s="264">
        <v>1.5</v>
      </c>
      <c r="H129" s="264">
        <v>0</v>
      </c>
      <c r="I129" s="557">
        <v>-0.16</v>
      </c>
      <c r="J129" s="557"/>
      <c r="K129" s="264">
        <v>1.99</v>
      </c>
      <c r="L129" s="262">
        <v>3</v>
      </c>
      <c r="M129" s="312" t="s">
        <v>583</v>
      </c>
      <c r="N129" s="477">
        <v>0.35</v>
      </c>
    </row>
    <row r="130" spans="1:16" s="268" customFormat="1" outlineLevel="1" x14ac:dyDescent="0.2">
      <c r="A130" s="261" t="s">
        <v>397</v>
      </c>
      <c r="B130" s="261" t="s">
        <v>398</v>
      </c>
      <c r="C130" s="262" t="s">
        <v>48</v>
      </c>
      <c r="D130" s="263">
        <f t="shared" ref="D130:D132" si="31">E130/100</f>
        <v>0.15389999999999998</v>
      </c>
      <c r="E130" s="264">
        <f>SUM(F130:K130)</f>
        <v>15.389999999999999</v>
      </c>
      <c r="F130" s="264">
        <v>9.09</v>
      </c>
      <c r="G130" s="264">
        <v>6.86</v>
      </c>
      <c r="H130" s="264"/>
      <c r="I130" s="264">
        <v>1.8599999999999999</v>
      </c>
      <c r="J130" s="264">
        <v>-2.42</v>
      </c>
      <c r="K130" s="264">
        <v>0</v>
      </c>
      <c r="L130" s="262">
        <v>1</v>
      </c>
      <c r="M130" s="312"/>
      <c r="N130" s="312"/>
    </row>
    <row r="131" spans="1:16" s="268" customFormat="1" outlineLevel="1" x14ac:dyDescent="0.2">
      <c r="A131" s="261" t="s">
        <v>399</v>
      </c>
      <c r="B131" s="261" t="s">
        <v>398</v>
      </c>
      <c r="C131" s="262" t="s">
        <v>49</v>
      </c>
      <c r="D131" s="263">
        <f>D130*0.1</f>
        <v>1.5389999999999999E-2</v>
      </c>
      <c r="E131" s="263">
        <f t="shared" ref="E131:K131" si="32">E130*0.1</f>
        <v>1.5389999999999999</v>
      </c>
      <c r="F131" s="263">
        <f t="shared" si="32"/>
        <v>0.90900000000000003</v>
      </c>
      <c r="G131" s="263">
        <f t="shared" si="32"/>
        <v>0.68600000000000005</v>
      </c>
      <c r="H131" s="263">
        <f t="shared" si="32"/>
        <v>0</v>
      </c>
      <c r="I131" s="263">
        <f t="shared" si="32"/>
        <v>0.186</v>
      </c>
      <c r="J131" s="263">
        <f t="shared" si="32"/>
        <v>-0.24199999999999999</v>
      </c>
      <c r="K131" s="263">
        <f t="shared" si="32"/>
        <v>0</v>
      </c>
      <c r="L131" s="262">
        <v>1</v>
      </c>
      <c r="M131" s="312"/>
      <c r="N131" s="312"/>
    </row>
    <row r="132" spans="1:16" s="268" customFormat="1" outlineLevel="1" x14ac:dyDescent="0.2">
      <c r="A132" s="261" t="s">
        <v>400</v>
      </c>
      <c r="B132" s="261" t="s">
        <v>398</v>
      </c>
      <c r="C132" s="262" t="s">
        <v>48</v>
      </c>
      <c r="D132" s="263">
        <f t="shared" si="31"/>
        <v>0.1928</v>
      </c>
      <c r="E132" s="264">
        <f>SUM(F132:K132)</f>
        <v>19.28</v>
      </c>
      <c r="F132" s="264">
        <v>9.6399999999999988</v>
      </c>
      <c r="G132" s="264">
        <v>6.4</v>
      </c>
      <c r="H132" s="264"/>
      <c r="I132" s="264">
        <v>6.24</v>
      </c>
      <c r="J132" s="264">
        <v>-3</v>
      </c>
      <c r="K132" s="264">
        <v>0</v>
      </c>
      <c r="L132" s="262">
        <v>1</v>
      </c>
      <c r="M132" s="312"/>
      <c r="N132" s="312"/>
    </row>
    <row r="133" spans="1:16" s="268" customFormat="1" outlineLevel="1" x14ac:dyDescent="0.2">
      <c r="A133" s="261" t="s">
        <v>401</v>
      </c>
      <c r="B133" s="261" t="s">
        <v>398</v>
      </c>
      <c r="C133" s="262" t="s">
        <v>49</v>
      </c>
      <c r="D133" s="263">
        <f>D132*0.08</f>
        <v>1.5424E-2</v>
      </c>
      <c r="E133" s="263">
        <f t="shared" ref="E133:K133" si="33">E132*0.08</f>
        <v>1.5424000000000002</v>
      </c>
      <c r="F133" s="263">
        <f t="shared" si="33"/>
        <v>0.77119999999999989</v>
      </c>
      <c r="G133" s="263">
        <f t="shared" si="33"/>
        <v>0.51200000000000001</v>
      </c>
      <c r="H133" s="263">
        <f t="shared" si="33"/>
        <v>0</v>
      </c>
      <c r="I133" s="263">
        <f t="shared" si="33"/>
        <v>0.49920000000000003</v>
      </c>
      <c r="J133" s="263">
        <f t="shared" si="33"/>
        <v>-0.24</v>
      </c>
      <c r="K133" s="263">
        <f t="shared" si="33"/>
        <v>0</v>
      </c>
      <c r="L133" s="262">
        <v>1</v>
      </c>
      <c r="M133" s="312"/>
      <c r="N133" s="312"/>
    </row>
    <row r="134" spans="1:16" s="125" customFormat="1" ht="12.75" x14ac:dyDescent="0.2">
      <c r="A134" s="41"/>
      <c r="B134" s="41"/>
      <c r="C134" s="41"/>
      <c r="D134" s="116"/>
      <c r="E134" s="41"/>
      <c r="F134" s="45"/>
      <c r="G134" s="45"/>
      <c r="H134" s="45"/>
      <c r="I134" s="45"/>
      <c r="J134" s="45"/>
      <c r="K134" s="41"/>
      <c r="L134" s="41"/>
      <c r="M134" s="38"/>
      <c r="N134" s="39"/>
      <c r="O134" s="41"/>
      <c r="P134" s="41"/>
    </row>
    <row r="135" spans="1:16" s="125" customFormat="1" ht="12.75" x14ac:dyDescent="0.2">
      <c r="A135" s="41"/>
      <c r="B135" s="41"/>
      <c r="C135" s="41"/>
      <c r="D135" s="116"/>
      <c r="E135" s="41"/>
      <c r="F135" s="45"/>
      <c r="G135" s="45"/>
      <c r="H135" s="45"/>
      <c r="I135" s="45"/>
      <c r="J135" s="45"/>
      <c r="K135" s="41"/>
      <c r="L135" s="41"/>
      <c r="M135" s="38"/>
      <c r="N135" s="39"/>
      <c r="O135" s="41"/>
      <c r="P135" s="41"/>
    </row>
    <row r="136" spans="1:16" s="125" customFormat="1" ht="12.75" x14ac:dyDescent="0.2">
      <c r="A136" s="95"/>
      <c r="B136" s="95"/>
      <c r="C136" s="95"/>
      <c r="D136" s="117"/>
      <c r="E136" s="95"/>
      <c r="F136" s="46"/>
      <c r="G136" s="46"/>
      <c r="H136" s="46"/>
      <c r="I136" s="46"/>
      <c r="J136" s="46"/>
      <c r="K136" s="95"/>
      <c r="L136" s="95"/>
      <c r="M136" s="96"/>
      <c r="N136" s="97"/>
      <c r="O136" s="95"/>
      <c r="P136" s="95"/>
    </row>
    <row r="137" spans="1:16" s="125" customFormat="1" ht="12.75" x14ac:dyDescent="0.2">
      <c r="A137" s="95"/>
      <c r="B137" s="95"/>
      <c r="C137" s="95"/>
      <c r="D137" s="117"/>
      <c r="E137" s="95"/>
      <c r="F137" s="46"/>
      <c r="G137" s="46"/>
      <c r="H137" s="46"/>
      <c r="I137" s="46"/>
      <c r="J137" s="46"/>
      <c r="K137" s="95"/>
      <c r="L137" s="95"/>
      <c r="M137" s="96"/>
      <c r="N137" s="97"/>
      <c r="O137" s="95"/>
      <c r="P137" s="95"/>
    </row>
    <row r="138" spans="1:16" s="125" customFormat="1" ht="12.75" x14ac:dyDescent="0.2">
      <c r="A138" s="95"/>
      <c r="B138" s="95"/>
      <c r="C138" s="95"/>
      <c r="D138" s="117"/>
      <c r="E138" s="95"/>
      <c r="F138" s="46"/>
      <c r="G138" s="46"/>
      <c r="H138" s="46"/>
      <c r="I138" s="46"/>
      <c r="J138" s="46"/>
      <c r="K138" s="95"/>
      <c r="L138" s="95"/>
      <c r="M138" s="96"/>
      <c r="N138" s="97"/>
      <c r="O138" s="95"/>
      <c r="P138" s="95"/>
    </row>
    <row r="139" spans="1:16" s="125" customFormat="1" ht="12.75" x14ac:dyDescent="0.2">
      <c r="A139" s="95"/>
      <c r="B139" s="95"/>
      <c r="C139" s="95"/>
      <c r="D139" s="117"/>
      <c r="E139" s="97"/>
      <c r="F139" s="46"/>
      <c r="G139" s="46"/>
      <c r="H139" s="46"/>
      <c r="I139" s="46"/>
      <c r="J139" s="46"/>
      <c r="K139" s="97"/>
      <c r="L139" s="95"/>
      <c r="M139" s="96"/>
      <c r="N139" s="97"/>
      <c r="O139" s="95"/>
      <c r="P139" s="95"/>
    </row>
    <row r="140" spans="1:16" s="125" customFormat="1" ht="12.75" x14ac:dyDescent="0.2">
      <c r="A140" s="95"/>
      <c r="B140" s="95"/>
      <c r="C140" s="95"/>
      <c r="D140" s="117"/>
      <c r="E140" s="95"/>
      <c r="F140" s="46"/>
      <c r="G140" s="46"/>
      <c r="H140" s="46"/>
      <c r="I140" s="46"/>
      <c r="J140" s="46"/>
      <c r="K140" s="95"/>
      <c r="L140" s="95"/>
      <c r="M140" s="96"/>
      <c r="N140" s="97"/>
      <c r="O140" s="95"/>
      <c r="P140" s="95"/>
    </row>
    <row r="141" spans="1:16" s="125" customFormat="1" ht="12.75" x14ac:dyDescent="0.2">
      <c r="A141" s="95"/>
      <c r="B141" s="95"/>
      <c r="C141" s="95"/>
      <c r="D141" s="117"/>
      <c r="E141" s="95"/>
      <c r="F141" s="46"/>
      <c r="G141" s="46"/>
      <c r="H141" s="46"/>
      <c r="I141" s="46"/>
      <c r="J141" s="46"/>
      <c r="K141" s="95"/>
      <c r="L141" s="95"/>
      <c r="M141" s="96"/>
      <c r="N141" s="97"/>
      <c r="O141" s="95"/>
      <c r="P141" s="95"/>
    </row>
    <row r="142" spans="1:16" s="125" customFormat="1" ht="12.75" x14ac:dyDescent="0.2">
      <c r="A142" s="95"/>
      <c r="B142" s="95"/>
      <c r="C142" s="95"/>
      <c r="D142" s="117"/>
      <c r="E142" s="95"/>
      <c r="F142" s="46"/>
      <c r="G142" s="46"/>
      <c r="H142" s="46"/>
      <c r="I142" s="46"/>
      <c r="J142" s="46"/>
      <c r="K142" s="95"/>
      <c r="L142" s="95"/>
      <c r="M142" s="96"/>
      <c r="N142" s="97"/>
      <c r="O142" s="95"/>
      <c r="P142" s="95"/>
    </row>
    <row r="143" spans="1:16" s="125" customFormat="1" ht="12.75" x14ac:dyDescent="0.2">
      <c r="A143" s="95"/>
      <c r="B143" s="95"/>
      <c r="C143" s="95"/>
      <c r="D143" s="117"/>
      <c r="E143" s="95"/>
      <c r="F143" s="46"/>
      <c r="G143" s="46"/>
      <c r="H143" s="46"/>
      <c r="I143" s="46"/>
      <c r="J143" s="46"/>
      <c r="K143" s="95"/>
      <c r="L143" s="95"/>
      <c r="M143" s="96"/>
      <c r="N143" s="97"/>
      <c r="O143" s="95"/>
      <c r="P143" s="95"/>
    </row>
    <row r="144" spans="1:16" s="125" customFormat="1" ht="12.75" x14ac:dyDescent="0.2">
      <c r="A144" s="95"/>
      <c r="B144" s="95"/>
      <c r="C144" s="95"/>
      <c r="D144" s="117"/>
      <c r="E144" s="95"/>
      <c r="F144" s="46"/>
      <c r="G144" s="46"/>
      <c r="H144" s="46"/>
      <c r="I144" s="46"/>
      <c r="J144" s="46"/>
      <c r="K144" s="95"/>
      <c r="L144" s="95"/>
      <c r="M144" s="96"/>
      <c r="N144" s="97"/>
      <c r="O144" s="95"/>
      <c r="P144" s="95"/>
    </row>
    <row r="145" spans="1:16" s="125" customFormat="1" ht="12.75" x14ac:dyDescent="0.2">
      <c r="A145" s="95"/>
      <c r="B145" s="95"/>
      <c r="C145" s="95"/>
      <c r="D145" s="117"/>
      <c r="E145" s="95"/>
      <c r="F145" s="46"/>
      <c r="G145" s="46"/>
      <c r="H145" s="46"/>
      <c r="I145" s="46"/>
      <c r="J145" s="46"/>
      <c r="K145" s="95"/>
      <c r="L145" s="95"/>
      <c r="M145" s="96"/>
      <c r="N145" s="97"/>
      <c r="O145" s="95"/>
      <c r="P145" s="95"/>
    </row>
    <row r="146" spans="1:16" s="125" customFormat="1" ht="12.75" x14ac:dyDescent="0.2">
      <c r="A146" s="95"/>
      <c r="B146" s="95"/>
      <c r="C146" s="95"/>
      <c r="D146" s="117"/>
      <c r="E146" s="95"/>
      <c r="F146" s="46"/>
      <c r="G146" s="46"/>
      <c r="H146" s="46"/>
      <c r="I146" s="46"/>
      <c r="J146" s="46"/>
      <c r="K146" s="95"/>
      <c r="L146" s="95"/>
      <c r="M146" s="96"/>
      <c r="N146" s="97"/>
      <c r="O146" s="95"/>
      <c r="P146" s="95"/>
    </row>
    <row r="147" spans="1:16" s="125" customFormat="1" ht="12.75" x14ac:dyDescent="0.2">
      <c r="A147" s="95"/>
      <c r="B147" s="95"/>
      <c r="C147" s="95"/>
      <c r="D147" s="117"/>
      <c r="E147" s="95"/>
      <c r="F147" s="46"/>
      <c r="G147" s="46"/>
      <c r="H147" s="46"/>
      <c r="I147" s="46"/>
      <c r="J147" s="46"/>
      <c r="K147" s="95"/>
      <c r="L147" s="95"/>
      <c r="M147" s="96"/>
      <c r="N147" s="97"/>
      <c r="O147" s="95"/>
      <c r="P147" s="95"/>
    </row>
    <row r="148" spans="1:16" s="125" customFormat="1" ht="12.75" x14ac:dyDescent="0.2">
      <c r="A148" s="95"/>
      <c r="B148" s="95"/>
      <c r="C148" s="95"/>
      <c r="D148" s="117"/>
      <c r="E148" s="95"/>
      <c r="F148" s="46"/>
      <c r="G148" s="46"/>
      <c r="H148" s="46"/>
      <c r="I148" s="46"/>
      <c r="J148" s="46"/>
      <c r="K148" s="95"/>
      <c r="L148" s="95"/>
      <c r="M148" s="96"/>
      <c r="N148" s="97"/>
      <c r="O148" s="95"/>
      <c r="P148" s="95"/>
    </row>
    <row r="149" spans="1:16" s="125" customFormat="1" ht="12.75" x14ac:dyDescent="0.2">
      <c r="A149" s="95"/>
      <c r="B149" s="95"/>
      <c r="C149" s="95"/>
      <c r="D149" s="117"/>
      <c r="E149" s="95"/>
      <c r="F149" s="46"/>
      <c r="G149" s="46"/>
      <c r="H149" s="46"/>
      <c r="I149" s="46"/>
      <c r="J149" s="46"/>
      <c r="K149" s="95"/>
      <c r="L149" s="95"/>
      <c r="M149" s="96"/>
      <c r="N149" s="97"/>
      <c r="O149" s="95"/>
      <c r="P149" s="95"/>
    </row>
    <row r="150" spans="1:16" s="125" customFormat="1" ht="12.75" x14ac:dyDescent="0.2">
      <c r="A150" s="95"/>
      <c r="B150" s="95"/>
      <c r="C150" s="95"/>
      <c r="D150" s="117"/>
      <c r="E150" s="95"/>
      <c r="F150" s="46"/>
      <c r="G150" s="46"/>
      <c r="H150" s="46"/>
      <c r="I150" s="46"/>
      <c r="J150" s="46"/>
      <c r="K150" s="95"/>
      <c r="L150" s="95"/>
      <c r="M150" s="96"/>
      <c r="N150" s="97"/>
      <c r="O150" s="95"/>
      <c r="P150" s="95"/>
    </row>
    <row r="151" spans="1:16" s="125" customFormat="1" ht="12.75" x14ac:dyDescent="0.2">
      <c r="A151" s="41"/>
      <c r="B151" s="41"/>
      <c r="C151" s="41"/>
      <c r="D151" s="116"/>
      <c r="E151" s="41"/>
      <c r="F151" s="45"/>
      <c r="G151" s="45"/>
      <c r="H151" s="45"/>
      <c r="I151" s="45"/>
      <c r="J151" s="45"/>
      <c r="K151" s="41"/>
      <c r="L151" s="41"/>
      <c r="M151" s="38"/>
      <c r="N151" s="39"/>
      <c r="O151" s="41"/>
      <c r="P151" s="41"/>
    </row>
    <row r="152" spans="1:16" s="125" customFormat="1" x14ac:dyDescent="0.2">
      <c r="A152" s="31"/>
      <c r="B152" s="31"/>
      <c r="C152" s="35"/>
      <c r="D152" s="115"/>
      <c r="E152" s="41"/>
      <c r="F152" s="45"/>
      <c r="G152" s="45"/>
      <c r="H152" s="45"/>
      <c r="I152" s="45"/>
      <c r="J152" s="45"/>
      <c r="K152" s="41"/>
      <c r="L152" s="41"/>
      <c r="M152" s="38"/>
      <c r="N152" s="39"/>
      <c r="O152" s="41"/>
      <c r="P152" s="41"/>
    </row>
    <row r="153" spans="1:16" s="125" customFormat="1" x14ac:dyDescent="0.2">
      <c r="A153" s="31"/>
      <c r="B153" s="31"/>
      <c r="C153" s="34"/>
      <c r="D153" s="115"/>
      <c r="E153" s="35"/>
      <c r="F153" s="45"/>
      <c r="G153" s="45"/>
      <c r="H153" s="45"/>
      <c r="I153" s="45"/>
      <c r="J153" s="45"/>
      <c r="K153" s="35"/>
      <c r="L153" s="41"/>
      <c r="M153" s="38"/>
      <c r="N153" s="39"/>
      <c r="O153" s="41"/>
      <c r="P153" s="41"/>
    </row>
    <row r="154" spans="1:16" s="125" customFormat="1" x14ac:dyDescent="0.2">
      <c r="A154" s="31"/>
      <c r="B154" s="31"/>
      <c r="C154" s="34"/>
      <c r="D154" s="115"/>
      <c r="E154" s="35"/>
      <c r="F154" s="45"/>
      <c r="G154" s="45"/>
      <c r="H154" s="45"/>
      <c r="I154" s="45"/>
      <c r="J154" s="45"/>
      <c r="K154" s="35"/>
      <c r="L154" s="41"/>
      <c r="M154" s="38"/>
      <c r="N154" s="39"/>
      <c r="O154" s="41"/>
      <c r="P154" s="41"/>
    </row>
    <row r="155" spans="1:16" s="125" customFormat="1" x14ac:dyDescent="0.2">
      <c r="A155" s="31"/>
      <c r="B155" s="31"/>
      <c r="C155" s="34"/>
      <c r="D155" s="115"/>
      <c r="E155" s="35"/>
      <c r="F155" s="45"/>
      <c r="G155" s="45"/>
      <c r="H155" s="45"/>
      <c r="I155" s="45"/>
      <c r="J155" s="45"/>
      <c r="K155" s="35"/>
      <c r="L155" s="41"/>
      <c r="M155" s="38"/>
      <c r="N155" s="39"/>
      <c r="O155" s="41"/>
      <c r="P155" s="41"/>
    </row>
    <row r="156" spans="1:16" s="125" customFormat="1" x14ac:dyDescent="0.2">
      <c r="A156" s="31"/>
      <c r="B156" s="31"/>
      <c r="C156" s="34"/>
      <c r="D156" s="115"/>
      <c r="E156" s="35"/>
      <c r="F156" s="45"/>
      <c r="G156" s="45"/>
      <c r="H156" s="45"/>
      <c r="I156" s="45"/>
      <c r="J156" s="45"/>
      <c r="K156" s="35"/>
      <c r="L156" s="41"/>
      <c r="M156" s="38"/>
      <c r="N156" s="39"/>
      <c r="O156" s="41"/>
      <c r="P156" s="41"/>
    </row>
    <row r="157" spans="1:16" s="125" customFormat="1" x14ac:dyDescent="0.2">
      <c r="A157" s="31"/>
      <c r="B157" s="31"/>
      <c r="C157" s="34"/>
      <c r="D157" s="115"/>
      <c r="E157" s="35"/>
      <c r="F157" s="45"/>
      <c r="G157" s="45"/>
      <c r="H157" s="45"/>
      <c r="I157" s="45"/>
      <c r="J157" s="45"/>
      <c r="K157" s="35"/>
      <c r="L157" s="41"/>
      <c r="M157" s="38"/>
      <c r="N157" s="39"/>
      <c r="O157" s="41"/>
      <c r="P157" s="41"/>
    </row>
    <row r="158" spans="1:16" s="125" customFormat="1" x14ac:dyDescent="0.2">
      <c r="A158" s="31"/>
      <c r="B158" s="31"/>
      <c r="C158" s="34"/>
      <c r="D158" s="115"/>
      <c r="E158" s="35"/>
      <c r="F158" s="45"/>
      <c r="G158" s="45"/>
      <c r="H158" s="45"/>
      <c r="I158" s="45"/>
      <c r="J158" s="45"/>
      <c r="K158" s="35"/>
      <c r="L158" s="41"/>
      <c r="M158" s="38"/>
      <c r="N158" s="39"/>
      <c r="O158" s="41"/>
      <c r="P158" s="41"/>
    </row>
    <row r="159" spans="1:16" s="125" customFormat="1" x14ac:dyDescent="0.2">
      <c r="A159" s="31"/>
      <c r="B159" s="31"/>
      <c r="C159" s="34"/>
      <c r="D159" s="115"/>
      <c r="E159" s="35"/>
      <c r="F159" s="45"/>
      <c r="G159" s="45"/>
      <c r="H159" s="45"/>
      <c r="I159" s="45"/>
      <c r="J159" s="45"/>
      <c r="K159" s="35"/>
      <c r="L159" s="41"/>
      <c r="M159" s="38"/>
      <c r="N159" s="39"/>
      <c r="O159" s="41"/>
      <c r="P159" s="41"/>
    </row>
    <row r="160" spans="1:16" s="125" customFormat="1" x14ac:dyDescent="0.2">
      <c r="A160" s="31"/>
      <c r="B160" s="31"/>
      <c r="C160" s="34"/>
      <c r="D160" s="115"/>
      <c r="E160" s="35"/>
      <c r="F160" s="45"/>
      <c r="G160" s="45"/>
      <c r="H160" s="45"/>
      <c r="I160" s="45"/>
      <c r="J160" s="45"/>
      <c r="K160" s="35"/>
      <c r="L160" s="41"/>
      <c r="M160" s="38"/>
      <c r="N160" s="39"/>
      <c r="O160" s="41"/>
      <c r="P160" s="41"/>
    </row>
    <row r="161" spans="1:16" s="125" customFormat="1" x14ac:dyDescent="0.2">
      <c r="A161" s="94"/>
      <c r="B161" s="94"/>
      <c r="C161" s="34"/>
      <c r="D161" s="115"/>
      <c r="E161" s="35"/>
      <c r="F161" s="45"/>
      <c r="G161" s="45"/>
      <c r="H161" s="45"/>
      <c r="I161" s="45"/>
      <c r="J161" s="45"/>
      <c r="K161" s="35"/>
      <c r="L161" s="41"/>
      <c r="M161" s="38"/>
      <c r="N161" s="39"/>
      <c r="O161" s="41"/>
      <c r="P161" s="41"/>
    </row>
    <row r="162" spans="1:16" s="125" customFormat="1" x14ac:dyDescent="0.2">
      <c r="A162" s="94"/>
      <c r="B162" s="94"/>
      <c r="C162" s="34"/>
      <c r="D162" s="115"/>
      <c r="E162" s="35"/>
      <c r="F162" s="45"/>
      <c r="G162" s="45"/>
      <c r="H162" s="45"/>
      <c r="I162" s="45"/>
      <c r="J162" s="45"/>
      <c r="K162" s="35"/>
      <c r="L162" s="41"/>
      <c r="M162" s="38"/>
      <c r="N162" s="39"/>
      <c r="O162" s="41"/>
      <c r="P162" s="41"/>
    </row>
    <row r="175" spans="1:16" s="125" customFormat="1" x14ac:dyDescent="0.2">
      <c r="A175" s="31"/>
      <c r="B175" s="31"/>
      <c r="C175" s="34"/>
      <c r="D175" s="115"/>
      <c r="E175" s="35"/>
      <c r="F175" s="45"/>
      <c r="G175" s="45"/>
      <c r="H175" s="45"/>
      <c r="I175" s="45"/>
      <c r="J175" s="45"/>
      <c r="K175" s="35"/>
      <c r="L175" s="41"/>
      <c r="M175" s="38"/>
      <c r="N175" s="39"/>
      <c r="O175" s="41"/>
      <c r="P175" s="41"/>
    </row>
    <row r="176" spans="1:16" s="125" customFormat="1" x14ac:dyDescent="0.2">
      <c r="A176" s="31"/>
      <c r="B176" s="31"/>
      <c r="C176" s="34"/>
      <c r="D176" s="115"/>
      <c r="E176" s="35"/>
      <c r="F176" s="45"/>
      <c r="G176" s="45"/>
      <c r="H176" s="45"/>
      <c r="I176" s="45"/>
      <c r="J176" s="45"/>
      <c r="K176" s="35"/>
      <c r="L176" s="41"/>
      <c r="M176" s="38"/>
      <c r="N176" s="39"/>
      <c r="O176" s="41"/>
      <c r="P176" s="41"/>
    </row>
    <row r="177" spans="1:16" s="125" customFormat="1" x14ac:dyDescent="0.2">
      <c r="A177" s="31"/>
      <c r="B177" s="31"/>
      <c r="C177" s="34"/>
      <c r="D177" s="115"/>
      <c r="E177" s="35"/>
      <c r="F177" s="45"/>
      <c r="G177" s="45"/>
      <c r="H177" s="45"/>
      <c r="I177" s="45"/>
      <c r="J177" s="45"/>
      <c r="K177" s="35"/>
      <c r="L177" s="41"/>
      <c r="M177" s="38"/>
      <c r="N177" s="39"/>
      <c r="O177" s="41"/>
      <c r="P177" s="41"/>
    </row>
    <row r="271" spans="4:11" x14ac:dyDescent="0.2">
      <c r="D271" s="118"/>
      <c r="E271" s="42"/>
      <c r="F271" s="46"/>
      <c r="G271" s="46"/>
      <c r="H271" s="46"/>
      <c r="I271" s="46"/>
      <c r="J271" s="46"/>
      <c r="K271" s="42"/>
    </row>
    <row r="278" spans="4:11" x14ac:dyDescent="0.2">
      <c r="D278" s="119"/>
      <c r="E278" s="43"/>
      <c r="F278" s="47"/>
      <c r="G278" s="47"/>
      <c r="H278" s="47"/>
      <c r="I278" s="47"/>
      <c r="J278" s="47"/>
      <c r="K278" s="43"/>
    </row>
  </sheetData>
  <protectedRanges>
    <protectedRange sqref="A1:A1048576" name="Range1"/>
  </protectedRanges>
  <sortState xmlns:xlrd2="http://schemas.microsoft.com/office/spreadsheetml/2017/richdata2" ref="A4:P110">
    <sortCondition ref="A4:A110"/>
  </sortState>
  <mergeCells count="37">
    <mergeCell ref="I129:J129"/>
    <mergeCell ref="D1:D2"/>
    <mergeCell ref="E1:E2"/>
    <mergeCell ref="P1:P2"/>
    <mergeCell ref="K1:K2"/>
    <mergeCell ref="L1:L2"/>
    <mergeCell ref="M1:M2"/>
    <mergeCell ref="N1:N2"/>
    <mergeCell ref="O1:O2"/>
    <mergeCell ref="N118:N119"/>
    <mergeCell ref="O118:O119"/>
    <mergeCell ref="P118:P119"/>
    <mergeCell ref="D118:D119"/>
    <mergeCell ref="E118:E119"/>
    <mergeCell ref="K118:K119"/>
    <mergeCell ref="I57:J57"/>
    <mergeCell ref="M118:M119"/>
    <mergeCell ref="I92:J92"/>
    <mergeCell ref="I93:J93"/>
    <mergeCell ref="I94:J94"/>
    <mergeCell ref="I95:J95"/>
    <mergeCell ref="I97:J97"/>
    <mergeCell ref="I98:J98"/>
    <mergeCell ref="I111:J111"/>
    <mergeCell ref="I112:J112"/>
    <mergeCell ref="I109:J109"/>
    <mergeCell ref="I52:J52"/>
    <mergeCell ref="I16:J16"/>
    <mergeCell ref="I15:J15"/>
    <mergeCell ref="I54:J54"/>
    <mergeCell ref="L118:L119"/>
    <mergeCell ref="I90:J90"/>
    <mergeCell ref="I7:J7"/>
    <mergeCell ref="I6:J6"/>
    <mergeCell ref="I8:J8"/>
    <mergeCell ref="I9:J9"/>
    <mergeCell ref="I51:J51"/>
  </mergeCells>
  <phoneticPr fontId="37" type="noConversion"/>
  <pageMargins left="0.7" right="0.7" top="0.75" bottom="0.75" header="0.3" footer="0.3"/>
  <pageSetup paperSize="9" orientation="portrait" horizont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M15"/>
  <sheetViews>
    <sheetView workbookViewId="0">
      <selection activeCell="Q7" sqref="Q7"/>
    </sheetView>
  </sheetViews>
  <sheetFormatPr defaultRowHeight="12.75" x14ac:dyDescent="0.2"/>
  <cols>
    <col min="1" max="1" width="73.42578125" customWidth="1"/>
    <col min="2" max="2" width="2.28515625" customWidth="1"/>
    <col min="3" max="13" width="8.28515625" customWidth="1"/>
    <col min="14" max="17" width="10.5703125" customWidth="1"/>
    <col min="18" max="18" width="3.28515625" customWidth="1"/>
  </cols>
  <sheetData>
    <row r="2" spans="1:13" ht="23.25" x14ac:dyDescent="0.35">
      <c r="A2" s="443" t="s">
        <v>430</v>
      </c>
    </row>
    <row r="3" spans="1:13" ht="23.25" x14ac:dyDescent="0.35">
      <c r="A3" s="443"/>
    </row>
    <row r="4" spans="1:13" ht="18" x14ac:dyDescent="0.25">
      <c r="A4" s="444" t="s">
        <v>464</v>
      </c>
    </row>
    <row r="5" spans="1:13" ht="39" customHeight="1" x14ac:dyDescent="0.2">
      <c r="A5" s="524" t="s">
        <v>476</v>
      </c>
      <c r="B5" s="524"/>
      <c r="C5" s="524"/>
      <c r="D5" s="524"/>
      <c r="E5" s="524"/>
      <c r="F5" s="524"/>
      <c r="G5" s="524"/>
      <c r="H5" s="524"/>
      <c r="I5" s="524"/>
      <c r="J5" s="524"/>
      <c r="K5" s="524"/>
      <c r="L5" s="524"/>
    </row>
    <row r="7" spans="1:13" ht="15.75" x14ac:dyDescent="0.25">
      <c r="C7" s="445" t="s">
        <v>431</v>
      </c>
    </row>
    <row r="8" spans="1:13" ht="130.5" customHeight="1" x14ac:dyDescent="0.2">
      <c r="C8" s="524" t="s">
        <v>432</v>
      </c>
      <c r="D8" s="524"/>
      <c r="E8" s="524"/>
      <c r="F8" s="524"/>
      <c r="G8" s="524"/>
      <c r="H8" s="524"/>
      <c r="I8" s="524"/>
      <c r="J8" s="524"/>
      <c r="K8" s="524"/>
      <c r="L8" s="524"/>
      <c r="M8" s="524"/>
    </row>
    <row r="9" spans="1:13" ht="28.15" customHeight="1" x14ac:dyDescent="0.25">
      <c r="C9" s="445" t="s">
        <v>433</v>
      </c>
    </row>
    <row r="10" spans="1:13" ht="223.5" customHeight="1" x14ac:dyDescent="0.2">
      <c r="C10" s="524" t="s">
        <v>671</v>
      </c>
      <c r="D10" s="524"/>
      <c r="E10" s="524"/>
      <c r="F10" s="524"/>
      <c r="G10" s="524"/>
      <c r="H10" s="524"/>
      <c r="I10" s="524"/>
      <c r="J10" s="524"/>
      <c r="K10" s="524"/>
      <c r="L10" s="524"/>
      <c r="M10" s="524"/>
    </row>
    <row r="11" spans="1:13" ht="15.75" x14ac:dyDescent="0.25">
      <c r="C11" s="445" t="s">
        <v>434</v>
      </c>
    </row>
    <row r="12" spans="1:13" ht="176.25" customHeight="1" x14ac:dyDescent="0.2">
      <c r="C12" s="524" t="s">
        <v>465</v>
      </c>
      <c r="D12" s="524"/>
      <c r="E12" s="524"/>
      <c r="F12" s="524"/>
      <c r="G12" s="524"/>
      <c r="H12" s="524"/>
      <c r="I12" s="524"/>
      <c r="J12" s="524"/>
      <c r="K12" s="524"/>
      <c r="L12" s="524"/>
      <c r="M12" s="524"/>
    </row>
    <row r="13" spans="1:13" ht="15.75" x14ac:dyDescent="0.25">
      <c r="C13" s="445"/>
    </row>
    <row r="14" spans="1:13" ht="28.9" customHeight="1" x14ac:dyDescent="0.2">
      <c r="C14" s="524"/>
      <c r="D14" s="524"/>
      <c r="E14" s="524"/>
      <c r="F14" s="524"/>
      <c r="G14" s="524"/>
      <c r="H14" s="524"/>
      <c r="I14" s="524"/>
      <c r="J14" s="524"/>
      <c r="K14" s="524"/>
    </row>
    <row r="15" spans="1:13" ht="22.35" customHeight="1" x14ac:dyDescent="0.2"/>
  </sheetData>
  <mergeCells count="5">
    <mergeCell ref="C8:M8"/>
    <mergeCell ref="C10:M10"/>
    <mergeCell ref="C12:M12"/>
    <mergeCell ref="C14:K14"/>
    <mergeCell ref="A5:L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M41"/>
  <sheetViews>
    <sheetView showGridLines="0" workbookViewId="0">
      <selection sqref="A1:XFD1048576"/>
    </sheetView>
  </sheetViews>
  <sheetFormatPr defaultRowHeight="12.75" x14ac:dyDescent="0.2"/>
  <cols>
    <col min="1" max="1" width="93.28515625" customWidth="1"/>
    <col min="2" max="2" width="2.28515625" customWidth="1"/>
    <col min="3" max="3" width="72" customWidth="1"/>
    <col min="4" max="13" width="8.28515625" customWidth="1"/>
    <col min="14" max="17" width="10.5703125" customWidth="1"/>
    <col min="18" max="18" width="3.28515625" customWidth="1"/>
  </cols>
  <sheetData>
    <row r="2" spans="1:13" ht="23.25" x14ac:dyDescent="0.35">
      <c r="A2" s="443" t="s">
        <v>430</v>
      </c>
    </row>
    <row r="3" spans="1:13" ht="23.25" x14ac:dyDescent="0.35">
      <c r="A3" s="443"/>
    </row>
    <row r="4" spans="1:13" ht="18" x14ac:dyDescent="0.25">
      <c r="A4" s="444" t="s">
        <v>466</v>
      </c>
    </row>
    <row r="5" spans="1:13" ht="18" x14ac:dyDescent="0.25">
      <c r="A5" s="444"/>
    </row>
    <row r="6" spans="1:13" ht="18" x14ac:dyDescent="0.25">
      <c r="A6" s="444"/>
    </row>
    <row r="7" spans="1:13" ht="41.1" customHeight="1" x14ac:dyDescent="0.2">
      <c r="A7" s="524" t="s">
        <v>467</v>
      </c>
      <c r="B7" s="524"/>
      <c r="C7" s="524"/>
    </row>
    <row r="8" spans="1:13" ht="12.6" customHeight="1" thickBot="1" x14ac:dyDescent="0.3">
      <c r="C8" s="446"/>
    </row>
    <row r="9" spans="1:13" ht="12.6" customHeight="1" thickTop="1" x14ac:dyDescent="0.25">
      <c r="C9" s="447" t="s">
        <v>435</v>
      </c>
      <c r="D9" s="448"/>
      <c r="E9" s="449"/>
      <c r="F9" s="449"/>
      <c r="G9" s="449"/>
      <c r="H9" s="449"/>
      <c r="I9" s="449"/>
      <c r="J9" s="449"/>
      <c r="K9" s="449"/>
      <c r="L9" s="449"/>
      <c r="M9" s="449"/>
    </row>
    <row r="10" spans="1:13" ht="66" customHeight="1" thickBot="1" x14ac:dyDescent="0.25">
      <c r="C10" s="450" t="s">
        <v>468</v>
      </c>
      <c r="D10" s="450"/>
      <c r="E10" s="516"/>
    </row>
    <row r="11" spans="1:13" ht="12.6" customHeight="1" thickTop="1" x14ac:dyDescent="0.2">
      <c r="C11" s="451"/>
      <c r="D11" s="516"/>
      <c r="E11" s="516"/>
      <c r="F11" s="516"/>
      <c r="G11" s="516"/>
      <c r="H11" s="516"/>
      <c r="I11" s="516"/>
      <c r="J11" s="516"/>
      <c r="K11" s="516"/>
      <c r="L11" s="516"/>
      <c r="M11" s="516"/>
    </row>
    <row r="14" spans="1:13" ht="12.6" customHeight="1" x14ac:dyDescent="0.25">
      <c r="C14" s="445"/>
    </row>
    <row r="15" spans="1:13" ht="12.6" customHeight="1" x14ac:dyDescent="0.2">
      <c r="C15" s="524"/>
      <c r="D15" s="524"/>
      <c r="E15" s="524"/>
      <c r="F15" s="524"/>
      <c r="G15" s="524"/>
      <c r="H15" s="524"/>
      <c r="I15" s="524"/>
      <c r="J15" s="524"/>
      <c r="K15" s="524"/>
    </row>
    <row r="16" spans="1:13" ht="12.6" customHeight="1" x14ac:dyDescent="0.25">
      <c r="D16" s="449"/>
      <c r="E16" s="449"/>
      <c r="F16" s="449"/>
      <c r="G16" s="449"/>
      <c r="H16" s="449"/>
      <c r="I16" s="449"/>
      <c r="J16" s="449"/>
      <c r="K16" s="449"/>
      <c r="L16" s="449"/>
      <c r="M16" s="449"/>
    </row>
    <row r="17" spans="3:13" ht="12.6" customHeight="1" x14ac:dyDescent="0.2">
      <c r="D17" s="516"/>
      <c r="E17" s="516"/>
      <c r="F17" s="516"/>
      <c r="G17" s="516"/>
      <c r="H17" s="516"/>
      <c r="I17" s="516"/>
      <c r="J17" s="516"/>
      <c r="K17" s="516"/>
      <c r="L17" s="516"/>
      <c r="M17" s="516"/>
    </row>
    <row r="18" spans="3:13" ht="12.6" customHeight="1" x14ac:dyDescent="0.2"/>
    <row r="19" spans="3:13" ht="12.6" customHeight="1" x14ac:dyDescent="0.2"/>
    <row r="20" spans="3:13" ht="12.6" customHeight="1" x14ac:dyDescent="0.2"/>
    <row r="21" spans="3:13" ht="12.6" customHeight="1" x14ac:dyDescent="0.2"/>
    <row r="22" spans="3:13" ht="12.6" customHeight="1" thickBot="1" x14ac:dyDescent="0.25"/>
    <row r="23" spans="3:13" ht="12.6" customHeight="1" thickTop="1" x14ac:dyDescent="0.25">
      <c r="C23" s="452" t="s">
        <v>436</v>
      </c>
    </row>
    <row r="24" spans="3:13" ht="167.25" customHeight="1" thickBot="1" x14ac:dyDescent="0.25">
      <c r="C24" s="453" t="s">
        <v>469</v>
      </c>
    </row>
    <row r="25" spans="3:13" ht="13.5" thickTop="1" x14ac:dyDescent="0.2"/>
    <row r="29" spans="3:13" ht="13.5" thickBot="1" x14ac:dyDescent="0.25"/>
    <row r="30" spans="3:13" ht="16.5" thickTop="1" x14ac:dyDescent="0.25">
      <c r="C30" s="454" t="s">
        <v>437</v>
      </c>
    </row>
    <row r="31" spans="3:13" ht="30" customHeight="1" thickBot="1" x14ac:dyDescent="0.25">
      <c r="C31" s="455" t="s">
        <v>457</v>
      </c>
    </row>
    <row r="32" spans="3:13" ht="14.25" thickTop="1" thickBot="1" x14ac:dyDescent="0.25"/>
    <row r="33" spans="3:3" ht="12.6" customHeight="1" thickTop="1" x14ac:dyDescent="0.25">
      <c r="C33" s="456" t="s">
        <v>232</v>
      </c>
    </row>
    <row r="34" spans="3:3" ht="129" customHeight="1" thickBot="1" x14ac:dyDescent="0.25">
      <c r="C34" s="457" t="s">
        <v>470</v>
      </c>
    </row>
    <row r="35" spans="3:3" ht="13.5" thickTop="1" x14ac:dyDescent="0.2"/>
    <row r="38" spans="3:3" ht="13.5" thickBot="1" x14ac:dyDescent="0.25"/>
    <row r="39" spans="3:3" ht="16.5" thickTop="1" x14ac:dyDescent="0.25">
      <c r="C39" s="458" t="s">
        <v>438</v>
      </c>
    </row>
    <row r="40" spans="3:3" ht="322.5" customHeight="1" thickBot="1" x14ac:dyDescent="0.25">
      <c r="C40" s="459" t="s">
        <v>471</v>
      </c>
    </row>
    <row r="41" spans="3:3" ht="13.5" thickTop="1" x14ac:dyDescent="0.2"/>
  </sheetData>
  <mergeCells count="2">
    <mergeCell ref="A7:C7"/>
    <mergeCell ref="C15:K1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M51"/>
  <sheetViews>
    <sheetView showGridLines="0" workbookViewId="0">
      <selection sqref="A1:XFD1048576"/>
    </sheetView>
  </sheetViews>
  <sheetFormatPr defaultRowHeight="12.75" x14ac:dyDescent="0.2"/>
  <cols>
    <col min="1" max="1" width="79.42578125" customWidth="1"/>
    <col min="2" max="2" width="2.28515625" customWidth="1"/>
    <col min="3" max="3" width="84.28515625" customWidth="1"/>
    <col min="4" max="13" width="8.28515625" customWidth="1"/>
    <col min="14" max="17" width="10.5703125" customWidth="1"/>
    <col min="18" max="18" width="3.28515625" customWidth="1"/>
  </cols>
  <sheetData>
    <row r="2" spans="1:13" ht="23.25" x14ac:dyDescent="0.35">
      <c r="A2" s="443" t="s">
        <v>430</v>
      </c>
    </row>
    <row r="3" spans="1:13" ht="23.25" x14ac:dyDescent="0.35">
      <c r="A3" s="443"/>
    </row>
    <row r="4" spans="1:13" ht="18" x14ac:dyDescent="0.25">
      <c r="A4" s="444" t="s">
        <v>472</v>
      </c>
    </row>
    <row r="5" spans="1:13" ht="91.15" customHeight="1" x14ac:dyDescent="0.2">
      <c r="A5" s="524" t="s">
        <v>439</v>
      </c>
      <c r="B5" s="524"/>
      <c r="C5" s="524"/>
    </row>
    <row r="6" spans="1:13" ht="12.6" customHeight="1" x14ac:dyDescent="0.25">
      <c r="C6" s="449" t="s">
        <v>304</v>
      </c>
    </row>
    <row r="7" spans="1:13" s="186" customFormat="1" ht="27.4" customHeight="1" x14ac:dyDescent="0.2">
      <c r="C7" s="516" t="s">
        <v>440</v>
      </c>
      <c r="D7" s="460"/>
      <c r="E7" s="460"/>
      <c r="F7" s="460"/>
      <c r="G7" s="460"/>
      <c r="H7" s="460"/>
      <c r="I7" s="460"/>
      <c r="J7" s="460"/>
      <c r="K7" s="460"/>
      <c r="L7" s="460"/>
      <c r="M7" s="460"/>
    </row>
    <row r="8" spans="1:13" ht="5.0999999999999996" customHeight="1" x14ac:dyDescent="0.2">
      <c r="C8" s="516"/>
      <c r="D8" s="516"/>
      <c r="E8" s="516"/>
    </row>
    <row r="9" spans="1:13" ht="15" customHeight="1" x14ac:dyDescent="0.2">
      <c r="C9" s="517" t="s">
        <v>222</v>
      </c>
      <c r="D9" s="516"/>
      <c r="E9" s="516"/>
      <c r="F9" s="516"/>
      <c r="G9" s="516"/>
      <c r="H9" s="516"/>
      <c r="I9" s="516"/>
      <c r="J9" s="516"/>
      <c r="K9" s="516"/>
      <c r="L9" s="516"/>
      <c r="M9" s="516"/>
    </row>
    <row r="10" spans="1:13" s="186" customFormat="1" ht="16.899999999999999" customHeight="1" x14ac:dyDescent="0.2">
      <c r="C10" s="186" t="s">
        <v>441</v>
      </c>
    </row>
    <row r="11" spans="1:13" ht="5.0999999999999996" customHeight="1" x14ac:dyDescent="0.2"/>
    <row r="12" spans="1:13" ht="12.6" customHeight="1" x14ac:dyDescent="0.25">
      <c r="C12" s="449" t="s">
        <v>158</v>
      </c>
    </row>
    <row r="13" spans="1:13" ht="32.65" customHeight="1" x14ac:dyDescent="0.2">
      <c r="C13" s="516" t="s">
        <v>473</v>
      </c>
      <c r="D13" s="516"/>
      <c r="E13" s="516"/>
      <c r="F13" s="516"/>
      <c r="G13" s="516"/>
      <c r="H13" s="516"/>
      <c r="I13" s="516"/>
      <c r="J13" s="516"/>
      <c r="K13" s="516"/>
    </row>
    <row r="14" spans="1:13" ht="5.0999999999999996" customHeight="1" x14ac:dyDescent="0.25">
      <c r="D14" s="449"/>
      <c r="E14" s="449"/>
      <c r="F14" s="449"/>
      <c r="G14" s="449"/>
      <c r="H14" s="449"/>
      <c r="I14" s="449"/>
      <c r="J14" s="449"/>
      <c r="K14" s="449"/>
      <c r="L14" s="461"/>
      <c r="M14" s="447"/>
    </row>
    <row r="15" spans="1:13" ht="12.6" customHeight="1" x14ac:dyDescent="0.25">
      <c r="C15" s="449" t="s">
        <v>410</v>
      </c>
      <c r="D15" s="516"/>
      <c r="E15" s="516"/>
      <c r="F15" s="516"/>
      <c r="G15" s="516"/>
      <c r="H15" s="516"/>
      <c r="I15" s="516"/>
      <c r="J15" s="516"/>
      <c r="K15" s="516"/>
      <c r="L15" s="516"/>
      <c r="M15" s="450"/>
    </row>
    <row r="16" spans="1:13" ht="63.75" x14ac:dyDescent="0.2">
      <c r="C16" s="516" t="s">
        <v>458</v>
      </c>
    </row>
    <row r="17" spans="3:3" ht="5.0999999999999996" customHeight="1" x14ac:dyDescent="0.2"/>
    <row r="18" spans="3:3" ht="12.6" customHeight="1" x14ac:dyDescent="0.25">
      <c r="C18" s="449" t="s">
        <v>27</v>
      </c>
    </row>
    <row r="19" spans="3:3" ht="31.15" customHeight="1" x14ac:dyDescent="0.2">
      <c r="C19" s="516" t="s">
        <v>442</v>
      </c>
    </row>
    <row r="20" spans="3:3" ht="5.0999999999999996" customHeight="1" x14ac:dyDescent="0.2"/>
    <row r="21" spans="3:3" ht="12.6" customHeight="1" x14ac:dyDescent="0.25">
      <c r="C21" s="449" t="s">
        <v>224</v>
      </c>
    </row>
    <row r="22" spans="3:3" ht="40.15" customHeight="1" x14ac:dyDescent="0.2">
      <c r="C22" s="516" t="s">
        <v>474</v>
      </c>
    </row>
    <row r="23" spans="3:3" ht="5.0999999999999996" customHeight="1" x14ac:dyDescent="0.2"/>
    <row r="24" spans="3:3" ht="12.6" customHeight="1" x14ac:dyDescent="0.25">
      <c r="C24" s="449" t="s">
        <v>443</v>
      </c>
    </row>
    <row r="25" spans="3:3" ht="57.4" customHeight="1" x14ac:dyDescent="0.2">
      <c r="C25" s="516" t="s">
        <v>459</v>
      </c>
    </row>
    <row r="26" spans="3:3" ht="5.0999999999999996" customHeight="1" x14ac:dyDescent="0.2"/>
    <row r="27" spans="3:3" ht="12.6" customHeight="1" x14ac:dyDescent="0.25">
      <c r="C27" s="449" t="s">
        <v>444</v>
      </c>
    </row>
    <row r="28" spans="3:3" ht="32.65" customHeight="1" x14ac:dyDescent="0.2">
      <c r="C28" s="516" t="s">
        <v>475</v>
      </c>
    </row>
    <row r="29" spans="3:3" ht="12.6" customHeight="1" x14ac:dyDescent="0.2">
      <c r="C29" s="516"/>
    </row>
    <row r="30" spans="3:3" ht="12.6" customHeight="1" x14ac:dyDescent="0.2"/>
    <row r="31" spans="3:3" ht="12.6" customHeight="1" x14ac:dyDescent="0.25">
      <c r="C31" s="449"/>
    </row>
    <row r="32" spans="3:3" ht="12.6" customHeight="1" x14ac:dyDescent="0.2">
      <c r="C32" s="516"/>
    </row>
    <row r="33" spans="3:3" ht="12.6" customHeight="1" x14ac:dyDescent="0.2"/>
    <row r="34" spans="3:3" ht="12.6" customHeight="1" x14ac:dyDescent="0.2"/>
    <row r="35" spans="3:3" ht="12.6" customHeight="1" x14ac:dyDescent="0.2"/>
    <row r="36" spans="3:3" ht="12.6" customHeight="1" x14ac:dyDescent="0.2"/>
    <row r="37" spans="3:3" ht="12.6" customHeight="1" x14ac:dyDescent="0.25">
      <c r="C37" s="449"/>
    </row>
    <row r="38" spans="3:3" ht="12.6" customHeight="1" x14ac:dyDescent="0.2">
      <c r="C38" s="516"/>
    </row>
    <row r="39" spans="3:3" ht="12.6" customHeight="1" x14ac:dyDescent="0.2"/>
    <row r="40" spans="3:3" ht="12.6" customHeight="1" x14ac:dyDescent="0.2"/>
    <row r="41" spans="3:3" ht="12.6" customHeight="1" x14ac:dyDescent="0.2"/>
    <row r="42" spans="3:3" ht="12.6" customHeight="1" x14ac:dyDescent="0.2"/>
    <row r="43" spans="3:3" ht="12.6" customHeight="1" x14ac:dyDescent="0.2"/>
    <row r="44" spans="3:3" ht="12.6" customHeight="1" x14ac:dyDescent="0.2"/>
    <row r="45" spans="3:3" ht="12.6" customHeight="1" x14ac:dyDescent="0.2"/>
    <row r="46" spans="3:3" ht="12.6" customHeight="1" x14ac:dyDescent="0.2"/>
    <row r="47" spans="3:3" ht="12.6" customHeight="1" x14ac:dyDescent="0.2"/>
    <row r="48" spans="3:3" ht="12.6" customHeight="1" x14ac:dyDescent="0.2"/>
    <row r="49" customFormat="1" ht="12.6" customHeight="1" x14ac:dyDescent="0.2"/>
    <row r="50" customFormat="1" ht="12.6" customHeight="1" x14ac:dyDescent="0.2"/>
    <row r="51" customFormat="1" ht="12.6" customHeight="1" x14ac:dyDescent="0.2"/>
  </sheetData>
  <mergeCells count="1">
    <mergeCell ref="A5:C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44"/>
  <sheetViews>
    <sheetView topLeftCell="A37" workbookViewId="0">
      <selection activeCell="E17" sqref="E17"/>
    </sheetView>
  </sheetViews>
  <sheetFormatPr defaultRowHeight="12.75" x14ac:dyDescent="0.2"/>
  <cols>
    <col min="2" max="2" width="29.42578125" bestFit="1" customWidth="1"/>
    <col min="5" max="5" width="29.42578125" bestFit="1" customWidth="1"/>
    <col min="8" max="8" width="20.7109375" customWidth="1"/>
    <col min="10" max="13" width="0" hidden="1" customWidth="1"/>
  </cols>
  <sheetData>
    <row r="1" spans="1:12" x14ac:dyDescent="0.2">
      <c r="A1" s="17" t="s">
        <v>186</v>
      </c>
      <c r="F1" s="8"/>
    </row>
    <row r="2" spans="1:12" x14ac:dyDescent="0.2">
      <c r="A2" t="s">
        <v>266</v>
      </c>
      <c r="F2" s="8"/>
    </row>
    <row r="3" spans="1:12" x14ac:dyDescent="0.2">
      <c r="A3" s="567" t="s">
        <v>185</v>
      </c>
      <c r="B3" s="567"/>
      <c r="C3" s="567"/>
      <c r="D3" s="566" t="s">
        <v>184</v>
      </c>
      <c r="E3" s="566"/>
      <c r="F3" s="566"/>
      <c r="G3" s="567" t="s">
        <v>367</v>
      </c>
      <c r="H3" s="567"/>
      <c r="I3" s="567"/>
      <c r="J3" s="567" t="s">
        <v>52</v>
      </c>
      <c r="K3" s="567"/>
      <c r="L3" s="567"/>
    </row>
    <row r="4" spans="1:12" x14ac:dyDescent="0.2">
      <c r="A4" s="61" t="s">
        <v>157</v>
      </c>
      <c r="B4" s="3"/>
      <c r="C4" s="15">
        <v>0</v>
      </c>
      <c r="D4" s="61" t="s">
        <v>157</v>
      </c>
      <c r="E4" s="3"/>
      <c r="F4" s="15">
        <v>0</v>
      </c>
      <c r="G4" s="61" t="s">
        <v>157</v>
      </c>
      <c r="H4" s="3"/>
      <c r="I4" s="15">
        <v>0</v>
      </c>
      <c r="J4" t="s">
        <v>157</v>
      </c>
      <c r="L4">
        <v>0</v>
      </c>
    </row>
    <row r="5" spans="1:12" x14ac:dyDescent="0.2">
      <c r="A5" s="21">
        <f t="shared" ref="A5:A10" si="0">C5</f>
        <v>1</v>
      </c>
      <c r="B5" s="4" t="s">
        <v>177</v>
      </c>
      <c r="C5" s="12">
        <f t="shared" ref="C5:C10" si="1">IF(B5=B4,C4,C4+1)</f>
        <v>1</v>
      </c>
      <c r="D5" s="21">
        <f t="shared" ref="D5:D17" si="2">VLOOKUP(E5,$B$5:$C$20,2,FALSE)</f>
        <v>1</v>
      </c>
      <c r="E5" s="4" t="s">
        <v>177</v>
      </c>
      <c r="F5" s="16">
        <f t="shared" ref="F5:F17" si="3">VLOOKUP(E5,$B$5:$C$20,2,FALSE)</f>
        <v>1</v>
      </c>
      <c r="G5" s="13">
        <f t="shared" ref="G5:G28" si="4">I5</f>
        <v>1</v>
      </c>
      <c r="H5" s="3" t="s">
        <v>220</v>
      </c>
      <c r="I5" s="22">
        <f t="shared" ref="I5:I27" si="5">IF(H5=H4,I4,I4+1)</f>
        <v>1</v>
      </c>
      <c r="J5" s="27">
        <f t="shared" ref="J5:J21" si="6">L5</f>
        <v>1</v>
      </c>
      <c r="K5" s="3" t="s">
        <v>12</v>
      </c>
      <c r="L5" s="24">
        <v>1</v>
      </c>
    </row>
    <row r="6" spans="1:12" x14ac:dyDescent="0.2">
      <c r="A6" s="21">
        <f t="shared" si="0"/>
        <v>2</v>
      </c>
      <c r="B6" s="4" t="s">
        <v>58</v>
      </c>
      <c r="C6" s="12">
        <f t="shared" si="1"/>
        <v>2</v>
      </c>
      <c r="D6" s="21">
        <f t="shared" si="2"/>
        <v>1</v>
      </c>
      <c r="E6" s="4" t="s">
        <v>177</v>
      </c>
      <c r="F6" s="16">
        <f t="shared" si="3"/>
        <v>1</v>
      </c>
      <c r="G6" s="13">
        <f t="shared" si="4"/>
        <v>2</v>
      </c>
      <c r="H6" s="3" t="s">
        <v>221</v>
      </c>
      <c r="I6" s="22">
        <f t="shared" si="5"/>
        <v>2</v>
      </c>
      <c r="J6" s="27">
        <f t="shared" si="6"/>
        <v>2</v>
      </c>
      <c r="K6" s="3" t="s">
        <v>13</v>
      </c>
      <c r="L6" s="24">
        <v>2</v>
      </c>
    </row>
    <row r="7" spans="1:12" x14ac:dyDescent="0.2">
      <c r="A7" s="21">
        <f t="shared" si="0"/>
        <v>3</v>
      </c>
      <c r="B7" s="4" t="s">
        <v>54</v>
      </c>
      <c r="C7" s="12">
        <f t="shared" si="1"/>
        <v>3</v>
      </c>
      <c r="D7" s="21">
        <f t="shared" si="2"/>
        <v>1</v>
      </c>
      <c r="E7" s="4" t="s">
        <v>177</v>
      </c>
      <c r="F7" s="16">
        <f t="shared" si="3"/>
        <v>1</v>
      </c>
      <c r="G7" s="13">
        <f t="shared" si="4"/>
        <v>3</v>
      </c>
      <c r="H7" s="3" t="s">
        <v>8</v>
      </c>
      <c r="I7" s="22">
        <f t="shared" si="5"/>
        <v>3</v>
      </c>
      <c r="J7" s="27">
        <f t="shared" si="6"/>
        <v>3</v>
      </c>
      <c r="K7" s="3" t="s">
        <v>109</v>
      </c>
      <c r="L7" s="24">
        <v>3</v>
      </c>
    </row>
    <row r="8" spans="1:12" x14ac:dyDescent="0.2">
      <c r="A8" s="21">
        <f t="shared" si="0"/>
        <v>4</v>
      </c>
      <c r="B8" s="4" t="s">
        <v>55</v>
      </c>
      <c r="C8" s="12">
        <f t="shared" si="1"/>
        <v>4</v>
      </c>
      <c r="D8" s="21">
        <f t="shared" si="2"/>
        <v>1</v>
      </c>
      <c r="E8" s="4" t="s">
        <v>177</v>
      </c>
      <c r="F8" s="16">
        <f t="shared" si="3"/>
        <v>1</v>
      </c>
      <c r="G8" s="13">
        <f t="shared" si="4"/>
        <v>4</v>
      </c>
      <c r="H8" s="3" t="s">
        <v>9</v>
      </c>
      <c r="I8" s="22">
        <f t="shared" si="5"/>
        <v>4</v>
      </c>
      <c r="J8" s="27">
        <f t="shared" si="6"/>
        <v>4</v>
      </c>
      <c r="K8" s="3" t="s">
        <v>110</v>
      </c>
      <c r="L8" s="24">
        <v>4</v>
      </c>
    </row>
    <row r="9" spans="1:12" x14ac:dyDescent="0.2">
      <c r="A9" s="21">
        <f t="shared" si="0"/>
        <v>5</v>
      </c>
      <c r="B9" s="4" t="s">
        <v>129</v>
      </c>
      <c r="C9" s="12">
        <f t="shared" si="1"/>
        <v>5</v>
      </c>
      <c r="D9" s="21">
        <f t="shared" si="2"/>
        <v>2</v>
      </c>
      <c r="E9" s="4" t="s">
        <v>58</v>
      </c>
      <c r="F9" s="16">
        <f t="shared" si="3"/>
        <v>2</v>
      </c>
      <c r="G9" s="13">
        <f t="shared" si="4"/>
        <v>5</v>
      </c>
      <c r="H9" s="3" t="s">
        <v>20</v>
      </c>
      <c r="I9" s="22">
        <f t="shared" si="5"/>
        <v>5</v>
      </c>
      <c r="J9" s="27">
        <f t="shared" si="6"/>
        <v>5</v>
      </c>
      <c r="K9" s="3" t="s">
        <v>111</v>
      </c>
      <c r="L9" s="24">
        <v>5</v>
      </c>
    </row>
    <row r="10" spans="1:12" x14ac:dyDescent="0.2">
      <c r="A10" s="21">
        <f t="shared" si="0"/>
        <v>6</v>
      </c>
      <c r="B10" s="4" t="s">
        <v>365</v>
      </c>
      <c r="C10" s="12">
        <f t="shared" si="1"/>
        <v>6</v>
      </c>
      <c r="D10" s="21">
        <f t="shared" si="2"/>
        <v>2</v>
      </c>
      <c r="E10" s="4" t="s">
        <v>58</v>
      </c>
      <c r="F10" s="16">
        <f t="shared" si="3"/>
        <v>2</v>
      </c>
      <c r="G10" s="13">
        <f t="shared" si="4"/>
        <v>6</v>
      </c>
      <c r="H10" s="3" t="s">
        <v>60</v>
      </c>
      <c r="I10" s="22">
        <f t="shared" si="5"/>
        <v>6</v>
      </c>
      <c r="J10" s="27">
        <f t="shared" si="6"/>
        <v>6</v>
      </c>
      <c r="K10" s="3" t="s">
        <v>112</v>
      </c>
      <c r="L10" s="24">
        <v>6</v>
      </c>
    </row>
    <row r="11" spans="1:12" x14ac:dyDescent="0.2">
      <c r="A11" s="21">
        <f t="shared" ref="A11:A19" si="7">C11</f>
        <v>7</v>
      </c>
      <c r="B11" s="14" t="s">
        <v>178</v>
      </c>
      <c r="C11" s="12">
        <f t="shared" ref="C11:C19" si="8">IF(B11=B10,C10,C10+1)</f>
        <v>7</v>
      </c>
      <c r="D11" s="21">
        <f t="shared" si="2"/>
        <v>2</v>
      </c>
      <c r="E11" s="4" t="s">
        <v>58</v>
      </c>
      <c r="F11" s="16">
        <f t="shared" si="3"/>
        <v>2</v>
      </c>
      <c r="G11" s="13">
        <f t="shared" si="4"/>
        <v>7</v>
      </c>
      <c r="H11" s="3" t="s">
        <v>61</v>
      </c>
      <c r="I11" s="22">
        <f t="shared" si="5"/>
        <v>7</v>
      </c>
      <c r="J11" s="27">
        <f t="shared" si="6"/>
        <v>7</v>
      </c>
      <c r="K11" s="3" t="s">
        <v>113</v>
      </c>
      <c r="L11" s="24">
        <v>7</v>
      </c>
    </row>
    <row r="12" spans="1:12" x14ac:dyDescent="0.2">
      <c r="A12" s="21">
        <f t="shared" si="7"/>
        <v>8</v>
      </c>
      <c r="B12" s="4" t="s">
        <v>179</v>
      </c>
      <c r="C12" s="12">
        <f t="shared" si="8"/>
        <v>8</v>
      </c>
      <c r="D12" s="21">
        <f t="shared" si="2"/>
        <v>3</v>
      </c>
      <c r="E12" s="4" t="s">
        <v>54</v>
      </c>
      <c r="F12" s="16">
        <f t="shared" si="3"/>
        <v>3</v>
      </c>
      <c r="G12" s="13">
        <f t="shared" si="4"/>
        <v>8</v>
      </c>
      <c r="H12" s="3" t="s">
        <v>62</v>
      </c>
      <c r="I12" s="22">
        <f t="shared" si="5"/>
        <v>8</v>
      </c>
      <c r="J12" s="27">
        <f t="shared" si="6"/>
        <v>8</v>
      </c>
      <c r="K12" s="3" t="s">
        <v>114</v>
      </c>
      <c r="L12" s="24">
        <v>8</v>
      </c>
    </row>
    <row r="13" spans="1:12" x14ac:dyDescent="0.2">
      <c r="A13" s="21">
        <f t="shared" si="7"/>
        <v>9</v>
      </c>
      <c r="B13" s="4" t="s">
        <v>53</v>
      </c>
      <c r="C13" s="12">
        <f t="shared" si="8"/>
        <v>9</v>
      </c>
      <c r="D13" s="21">
        <f t="shared" si="2"/>
        <v>3</v>
      </c>
      <c r="E13" s="4" t="s">
        <v>54</v>
      </c>
      <c r="F13" s="16">
        <f t="shared" si="3"/>
        <v>3</v>
      </c>
      <c r="G13" s="13">
        <f t="shared" si="4"/>
        <v>9</v>
      </c>
      <c r="H13" s="3" t="s">
        <v>65</v>
      </c>
      <c r="I13" s="22">
        <f t="shared" si="5"/>
        <v>9</v>
      </c>
      <c r="J13" s="27">
        <f t="shared" si="6"/>
        <v>9</v>
      </c>
      <c r="K13" s="1" t="s">
        <v>146</v>
      </c>
      <c r="L13" s="24">
        <v>9</v>
      </c>
    </row>
    <row r="14" spans="1:12" x14ac:dyDescent="0.2">
      <c r="A14" s="21">
        <f t="shared" si="7"/>
        <v>10</v>
      </c>
      <c r="B14" s="4" t="s">
        <v>82</v>
      </c>
      <c r="C14" s="12">
        <f t="shared" si="8"/>
        <v>10</v>
      </c>
      <c r="D14" s="21">
        <f t="shared" si="2"/>
        <v>3</v>
      </c>
      <c r="E14" s="4" t="s">
        <v>54</v>
      </c>
      <c r="F14" s="16">
        <f t="shared" si="3"/>
        <v>3</v>
      </c>
      <c r="G14" s="13">
        <f t="shared" si="4"/>
        <v>10</v>
      </c>
      <c r="H14" s="3" t="s">
        <v>67</v>
      </c>
      <c r="I14" s="22">
        <f t="shared" si="5"/>
        <v>10</v>
      </c>
      <c r="J14" s="27">
        <f t="shared" si="6"/>
        <v>10</v>
      </c>
      <c r="K14" s="3" t="s">
        <v>159</v>
      </c>
      <c r="L14" s="24">
        <v>10</v>
      </c>
    </row>
    <row r="15" spans="1:12" x14ac:dyDescent="0.2">
      <c r="A15" s="21">
        <f t="shared" si="7"/>
        <v>11</v>
      </c>
      <c r="B15" s="4" t="s">
        <v>180</v>
      </c>
      <c r="C15" s="12">
        <f t="shared" si="8"/>
        <v>11</v>
      </c>
      <c r="D15" s="21">
        <f t="shared" si="2"/>
        <v>3</v>
      </c>
      <c r="E15" s="4" t="s">
        <v>54</v>
      </c>
      <c r="F15" s="16">
        <f t="shared" si="3"/>
        <v>3</v>
      </c>
      <c r="G15" s="13">
        <f t="shared" si="4"/>
        <v>11</v>
      </c>
      <c r="H15" s="3" t="s">
        <v>68</v>
      </c>
      <c r="I15" s="22">
        <f t="shared" si="5"/>
        <v>11</v>
      </c>
      <c r="J15" s="27">
        <f t="shared" si="6"/>
        <v>11</v>
      </c>
      <c r="K15" s="2" t="s">
        <v>160</v>
      </c>
      <c r="L15" s="24">
        <v>11</v>
      </c>
    </row>
    <row r="16" spans="1:12" x14ac:dyDescent="0.2">
      <c r="A16" s="21">
        <f t="shared" si="7"/>
        <v>12</v>
      </c>
      <c r="B16" s="4" t="s">
        <v>326</v>
      </c>
      <c r="C16" s="12">
        <f t="shared" si="8"/>
        <v>12</v>
      </c>
      <c r="D16" s="21">
        <f t="shared" si="2"/>
        <v>4</v>
      </c>
      <c r="E16" s="4" t="s">
        <v>55</v>
      </c>
      <c r="F16" s="16">
        <f t="shared" si="3"/>
        <v>4</v>
      </c>
      <c r="G16" s="13">
        <f t="shared" si="4"/>
        <v>12</v>
      </c>
      <c r="H16" s="138" t="s">
        <v>116</v>
      </c>
      <c r="I16" s="22">
        <f t="shared" si="5"/>
        <v>12</v>
      </c>
      <c r="J16" s="27">
        <f t="shared" si="6"/>
        <v>12</v>
      </c>
      <c r="K16" s="1" t="s">
        <v>161</v>
      </c>
      <c r="L16" s="24">
        <v>12</v>
      </c>
    </row>
    <row r="17" spans="1:12" x14ac:dyDescent="0.2">
      <c r="A17" s="21">
        <f t="shared" si="7"/>
        <v>13</v>
      </c>
      <c r="B17" s="4" t="s">
        <v>63</v>
      </c>
      <c r="C17" s="12">
        <f t="shared" si="8"/>
        <v>13</v>
      </c>
      <c r="D17" s="21">
        <f t="shared" si="2"/>
        <v>4</v>
      </c>
      <c r="E17" s="4" t="s">
        <v>55</v>
      </c>
      <c r="F17" s="16">
        <f t="shared" si="3"/>
        <v>4</v>
      </c>
      <c r="G17" s="13">
        <f t="shared" si="4"/>
        <v>13</v>
      </c>
      <c r="H17" s="139" t="s">
        <v>94</v>
      </c>
      <c r="I17" s="22">
        <f t="shared" si="5"/>
        <v>13</v>
      </c>
      <c r="J17" s="27">
        <f t="shared" si="6"/>
        <v>13</v>
      </c>
      <c r="K17" s="3" t="s">
        <v>1</v>
      </c>
      <c r="L17" s="24">
        <v>13</v>
      </c>
    </row>
    <row r="18" spans="1:12" x14ac:dyDescent="0.2">
      <c r="A18" s="21">
        <f t="shared" si="7"/>
        <v>14</v>
      </c>
      <c r="B18" s="4" t="s">
        <v>181</v>
      </c>
      <c r="C18" s="12">
        <f t="shared" si="8"/>
        <v>14</v>
      </c>
      <c r="D18" s="21">
        <f t="shared" ref="D18:D27" si="9">VLOOKUP(E18,$B$5:$C$20,2,FALSE)</f>
        <v>4</v>
      </c>
      <c r="E18" s="4" t="s">
        <v>55</v>
      </c>
      <c r="F18" s="16">
        <f t="shared" ref="F18:F28" si="10">VLOOKUP(E18,$B$5:$C$20,2,FALSE)</f>
        <v>4</v>
      </c>
      <c r="G18" s="13">
        <f t="shared" si="4"/>
        <v>14</v>
      </c>
      <c r="H18" s="138" t="s">
        <v>79</v>
      </c>
      <c r="I18" s="22">
        <f t="shared" si="5"/>
        <v>14</v>
      </c>
      <c r="J18" s="27">
        <f t="shared" si="6"/>
        <v>14</v>
      </c>
      <c r="K18" s="62" t="s">
        <v>247</v>
      </c>
      <c r="L18" s="24">
        <v>14</v>
      </c>
    </row>
    <row r="19" spans="1:12" x14ac:dyDescent="0.2">
      <c r="A19" s="21">
        <f t="shared" si="7"/>
        <v>15</v>
      </c>
      <c r="B19" s="4" t="s">
        <v>182</v>
      </c>
      <c r="C19" s="12">
        <f t="shared" si="8"/>
        <v>15</v>
      </c>
      <c r="D19" s="21">
        <f t="shared" si="9"/>
        <v>4</v>
      </c>
      <c r="E19" s="4" t="s">
        <v>55</v>
      </c>
      <c r="F19" s="16">
        <f t="shared" si="10"/>
        <v>4</v>
      </c>
      <c r="G19" s="13">
        <f t="shared" si="4"/>
        <v>15</v>
      </c>
      <c r="H19" s="137" t="s">
        <v>71</v>
      </c>
      <c r="I19" s="22">
        <f t="shared" si="5"/>
        <v>15</v>
      </c>
      <c r="J19" s="27">
        <f t="shared" si="6"/>
        <v>15</v>
      </c>
      <c r="K19" s="62" t="s">
        <v>248</v>
      </c>
      <c r="L19" s="24">
        <v>15</v>
      </c>
    </row>
    <row r="20" spans="1:12" x14ac:dyDescent="0.2">
      <c r="A20" s="21"/>
      <c r="B20" s="4"/>
      <c r="C20" s="12"/>
      <c r="D20" s="21">
        <f t="shared" si="9"/>
        <v>4</v>
      </c>
      <c r="E20" s="4" t="s">
        <v>55</v>
      </c>
      <c r="F20" s="16">
        <f t="shared" si="10"/>
        <v>4</v>
      </c>
      <c r="G20" s="13">
        <f t="shared" si="4"/>
        <v>16</v>
      </c>
      <c r="H20" s="3" t="s">
        <v>72</v>
      </c>
      <c r="I20" s="22">
        <f t="shared" si="5"/>
        <v>16</v>
      </c>
      <c r="J20" s="27">
        <f t="shared" si="6"/>
        <v>16</v>
      </c>
      <c r="K20" s="3" t="s">
        <v>12</v>
      </c>
      <c r="L20" s="24">
        <v>16</v>
      </c>
    </row>
    <row r="21" spans="1:12" x14ac:dyDescent="0.2">
      <c r="A21" s="3"/>
      <c r="B21" s="3"/>
      <c r="C21" s="3"/>
      <c r="D21" s="21">
        <f t="shared" si="9"/>
        <v>4</v>
      </c>
      <c r="E21" s="4" t="s">
        <v>55</v>
      </c>
      <c r="F21" s="16">
        <f t="shared" si="10"/>
        <v>4</v>
      </c>
      <c r="G21" s="13">
        <f t="shared" si="4"/>
        <v>17</v>
      </c>
      <c r="H21" s="138" t="s">
        <v>93</v>
      </c>
      <c r="I21" s="22">
        <f t="shared" si="5"/>
        <v>17</v>
      </c>
      <c r="J21" s="27">
        <f t="shared" si="6"/>
        <v>17</v>
      </c>
      <c r="K21" s="3" t="s">
        <v>13</v>
      </c>
      <c r="L21" s="24">
        <v>17</v>
      </c>
    </row>
    <row r="22" spans="1:12" x14ac:dyDescent="0.2">
      <c r="A22" s="3"/>
      <c r="B22" s="3"/>
      <c r="C22" s="3"/>
      <c r="D22" s="21">
        <f t="shared" si="9"/>
        <v>4</v>
      </c>
      <c r="E22" s="4" t="s">
        <v>55</v>
      </c>
      <c r="F22" s="16">
        <f t="shared" si="10"/>
        <v>4</v>
      </c>
      <c r="G22" s="13">
        <f t="shared" si="4"/>
        <v>18</v>
      </c>
      <c r="H22" s="137" t="s">
        <v>14</v>
      </c>
      <c r="I22" s="22">
        <f t="shared" si="5"/>
        <v>18</v>
      </c>
      <c r="J22" s="27">
        <f t="shared" ref="J22:J28" si="11">L22</f>
        <v>18</v>
      </c>
      <c r="K22" s="3" t="s">
        <v>100</v>
      </c>
      <c r="L22" s="24">
        <v>18</v>
      </c>
    </row>
    <row r="23" spans="1:12" x14ac:dyDescent="0.2">
      <c r="A23" s="3"/>
      <c r="B23" s="3"/>
      <c r="C23" s="3"/>
      <c r="D23" s="21">
        <f t="shared" si="9"/>
        <v>4</v>
      </c>
      <c r="E23" s="4" t="s">
        <v>55</v>
      </c>
      <c r="F23" s="16">
        <f t="shared" si="10"/>
        <v>4</v>
      </c>
      <c r="G23" s="13">
        <f t="shared" si="4"/>
        <v>19</v>
      </c>
      <c r="H23" s="137" t="s">
        <v>87</v>
      </c>
      <c r="I23" s="22">
        <f t="shared" si="5"/>
        <v>19</v>
      </c>
      <c r="J23" s="27">
        <f t="shared" si="11"/>
        <v>19</v>
      </c>
      <c r="K23" s="3" t="s">
        <v>115</v>
      </c>
      <c r="L23" s="24">
        <v>19</v>
      </c>
    </row>
    <row r="24" spans="1:12" x14ac:dyDescent="0.2">
      <c r="A24" s="3"/>
      <c r="B24" s="3"/>
      <c r="C24" s="3"/>
      <c r="D24" s="21">
        <f t="shared" si="9"/>
        <v>5</v>
      </c>
      <c r="E24" s="4" t="s">
        <v>129</v>
      </c>
      <c r="F24" s="16">
        <f t="shared" si="10"/>
        <v>5</v>
      </c>
      <c r="G24" s="13">
        <f t="shared" si="4"/>
        <v>20</v>
      </c>
      <c r="H24" s="138" t="s">
        <v>116</v>
      </c>
      <c r="I24" s="22">
        <f t="shared" si="5"/>
        <v>20</v>
      </c>
      <c r="J24" s="27">
        <f t="shared" si="11"/>
        <v>20</v>
      </c>
      <c r="K24" s="1" t="s">
        <v>29</v>
      </c>
      <c r="L24" s="24">
        <v>20</v>
      </c>
    </row>
    <row r="25" spans="1:12" x14ac:dyDescent="0.2">
      <c r="A25" s="21"/>
      <c r="B25" s="3"/>
      <c r="C25" s="3"/>
      <c r="D25" s="21">
        <f t="shared" si="9"/>
        <v>5</v>
      </c>
      <c r="E25" s="4" t="s">
        <v>129</v>
      </c>
      <c r="F25" s="16">
        <f t="shared" si="10"/>
        <v>5</v>
      </c>
      <c r="G25" s="13">
        <f t="shared" si="4"/>
        <v>21</v>
      </c>
      <c r="H25" s="138" t="s">
        <v>79</v>
      </c>
      <c r="I25" s="22">
        <f t="shared" si="5"/>
        <v>21</v>
      </c>
      <c r="J25" s="27">
        <f t="shared" si="11"/>
        <v>21</v>
      </c>
      <c r="K25" s="2" t="s">
        <v>4</v>
      </c>
      <c r="L25" s="24">
        <v>21</v>
      </c>
    </row>
    <row r="26" spans="1:12" x14ac:dyDescent="0.2">
      <c r="A26" s="3"/>
      <c r="B26" s="3"/>
      <c r="C26" s="3"/>
      <c r="D26" s="21">
        <f t="shared" si="9"/>
        <v>5</v>
      </c>
      <c r="E26" s="4" t="s">
        <v>129</v>
      </c>
      <c r="F26" s="16">
        <f t="shared" si="10"/>
        <v>5</v>
      </c>
      <c r="G26" s="13">
        <f t="shared" si="4"/>
        <v>22</v>
      </c>
      <c r="H26" s="3" t="s">
        <v>220</v>
      </c>
      <c r="I26" s="22">
        <f t="shared" si="5"/>
        <v>22</v>
      </c>
      <c r="J26" s="27">
        <f t="shared" si="11"/>
        <v>22</v>
      </c>
      <c r="K26" s="3" t="s">
        <v>13</v>
      </c>
      <c r="L26" s="24">
        <v>22</v>
      </c>
    </row>
    <row r="27" spans="1:12" x14ac:dyDescent="0.2">
      <c r="A27" s="3"/>
      <c r="B27" s="3"/>
      <c r="C27" s="3"/>
      <c r="D27" s="21">
        <f t="shared" si="9"/>
        <v>5</v>
      </c>
      <c r="E27" s="4" t="s">
        <v>129</v>
      </c>
      <c r="F27" s="16">
        <f t="shared" si="10"/>
        <v>5</v>
      </c>
      <c r="G27" s="13">
        <f t="shared" si="4"/>
        <v>23</v>
      </c>
      <c r="H27" s="138" t="s">
        <v>23</v>
      </c>
      <c r="I27" s="22">
        <f t="shared" si="5"/>
        <v>23</v>
      </c>
      <c r="J27" s="27">
        <f t="shared" si="11"/>
        <v>23</v>
      </c>
      <c r="K27" s="1" t="s">
        <v>4</v>
      </c>
      <c r="L27" s="24">
        <v>23</v>
      </c>
    </row>
    <row r="28" spans="1:12" x14ac:dyDescent="0.2">
      <c r="A28" s="3"/>
      <c r="B28" s="3"/>
      <c r="C28" s="3"/>
      <c r="D28" s="21">
        <v>6</v>
      </c>
      <c r="E28" s="4" t="s">
        <v>365</v>
      </c>
      <c r="F28" s="16">
        <f t="shared" si="10"/>
        <v>6</v>
      </c>
      <c r="G28" s="13">
        <f t="shared" si="4"/>
        <v>24</v>
      </c>
      <c r="H28" s="138" t="s">
        <v>62</v>
      </c>
      <c r="I28" s="22">
        <f>IF(H28=H27,I27,I27+1)</f>
        <v>24</v>
      </c>
      <c r="J28" s="27">
        <f t="shared" si="11"/>
        <v>24</v>
      </c>
      <c r="K28" s="2" t="s">
        <v>1</v>
      </c>
      <c r="L28" s="24">
        <v>24</v>
      </c>
    </row>
    <row r="29" spans="1:12" x14ac:dyDescent="0.2">
      <c r="A29" s="3"/>
      <c r="B29" s="3"/>
      <c r="C29" s="3"/>
      <c r="D29" s="21">
        <v>6</v>
      </c>
      <c r="E29" s="4" t="s">
        <v>365</v>
      </c>
      <c r="F29" s="16">
        <f t="shared" ref="F29:F31" si="12">VLOOKUP(E29,$B$5:$C$20,2,FALSE)</f>
        <v>6</v>
      </c>
      <c r="G29" s="13">
        <f t="shared" ref="G29:G67" si="13">I29</f>
        <v>25</v>
      </c>
      <c r="H29" s="3" t="s">
        <v>74</v>
      </c>
      <c r="I29" s="22">
        <f t="shared" ref="I29:I67" si="14">IF(H29=H28,I28,I28+1)</f>
        <v>25</v>
      </c>
      <c r="J29" s="27">
        <f t="shared" ref="J29:J36" si="15">L29</f>
        <v>25</v>
      </c>
      <c r="K29" s="3" t="s">
        <v>101</v>
      </c>
      <c r="L29" s="24">
        <v>25</v>
      </c>
    </row>
    <row r="30" spans="1:12" x14ac:dyDescent="0.2">
      <c r="A30" s="3"/>
      <c r="B30" s="3"/>
      <c r="C30" s="3"/>
      <c r="D30" s="21">
        <v>6</v>
      </c>
      <c r="E30" s="4" t="s">
        <v>365</v>
      </c>
      <c r="F30" s="16">
        <f t="shared" si="12"/>
        <v>6</v>
      </c>
      <c r="G30" s="13">
        <f t="shared" si="13"/>
        <v>26</v>
      </c>
      <c r="H30" s="3" t="s">
        <v>9</v>
      </c>
      <c r="I30" s="22">
        <f t="shared" si="14"/>
        <v>26</v>
      </c>
      <c r="J30" s="27">
        <f t="shared" si="15"/>
        <v>26</v>
      </c>
      <c r="K30" s="3" t="s">
        <v>13</v>
      </c>
      <c r="L30" s="24">
        <v>26</v>
      </c>
    </row>
    <row r="31" spans="1:12" x14ac:dyDescent="0.2">
      <c r="A31" s="3"/>
      <c r="B31" s="3"/>
      <c r="C31" s="3"/>
      <c r="D31" s="21">
        <v>6</v>
      </c>
      <c r="E31" s="4" t="s">
        <v>365</v>
      </c>
      <c r="F31" s="16">
        <f t="shared" si="12"/>
        <v>6</v>
      </c>
      <c r="G31" s="13">
        <f t="shared" si="13"/>
        <v>27</v>
      </c>
      <c r="H31" s="1" t="s">
        <v>68</v>
      </c>
      <c r="I31" s="22">
        <f t="shared" si="14"/>
        <v>27</v>
      </c>
      <c r="J31" s="27">
        <f t="shared" si="15"/>
        <v>27</v>
      </c>
      <c r="K31" s="3" t="s">
        <v>111</v>
      </c>
      <c r="L31" s="24">
        <v>27</v>
      </c>
    </row>
    <row r="32" spans="1:12" x14ac:dyDescent="0.2">
      <c r="A32" s="3"/>
      <c r="B32" s="3"/>
      <c r="C32" s="3"/>
      <c r="D32" s="21">
        <f t="shared" ref="D32:D67" si="16">VLOOKUP(E32,$B$5:$C$20,2,FALSE)</f>
        <v>7</v>
      </c>
      <c r="E32" s="14" t="s">
        <v>178</v>
      </c>
      <c r="F32" s="16">
        <f t="shared" ref="F32:F67" si="17">VLOOKUP(E32,$B$5:$C$20,2,FALSE)</f>
        <v>7</v>
      </c>
      <c r="G32" s="13">
        <f t="shared" si="13"/>
        <v>28</v>
      </c>
      <c r="H32" s="1" t="s">
        <v>116</v>
      </c>
      <c r="I32" s="22">
        <f t="shared" si="14"/>
        <v>28</v>
      </c>
      <c r="J32" s="27">
        <f t="shared" si="15"/>
        <v>28</v>
      </c>
      <c r="K32" s="3" t="s">
        <v>112</v>
      </c>
      <c r="L32" s="24">
        <v>28</v>
      </c>
    </row>
    <row r="33" spans="1:12" x14ac:dyDescent="0.2">
      <c r="A33" s="3"/>
      <c r="B33" s="3"/>
      <c r="C33" s="3"/>
      <c r="D33" s="21">
        <f t="shared" si="16"/>
        <v>7</v>
      </c>
      <c r="E33" s="14" t="s">
        <v>178</v>
      </c>
      <c r="F33" s="16">
        <f t="shared" si="17"/>
        <v>7</v>
      </c>
      <c r="G33" s="13">
        <f t="shared" si="13"/>
        <v>29</v>
      </c>
      <c r="H33" s="1" t="s">
        <v>34</v>
      </c>
      <c r="I33" s="22">
        <f t="shared" si="14"/>
        <v>29</v>
      </c>
      <c r="J33" s="27">
        <f t="shared" si="15"/>
        <v>29</v>
      </c>
      <c r="K33" s="3" t="s">
        <v>113</v>
      </c>
      <c r="L33" s="24">
        <v>29</v>
      </c>
    </row>
    <row r="34" spans="1:12" x14ac:dyDescent="0.2">
      <c r="A34" s="3"/>
      <c r="B34" s="3"/>
      <c r="C34" s="3"/>
      <c r="D34" s="21">
        <f t="shared" si="16"/>
        <v>8</v>
      </c>
      <c r="E34" s="4" t="s">
        <v>179</v>
      </c>
      <c r="F34" s="16">
        <f t="shared" si="17"/>
        <v>8</v>
      </c>
      <c r="G34" s="13">
        <f t="shared" si="13"/>
        <v>30</v>
      </c>
      <c r="H34" s="3" t="s">
        <v>62</v>
      </c>
      <c r="I34" s="22">
        <f t="shared" si="14"/>
        <v>30</v>
      </c>
      <c r="J34" s="27">
        <f t="shared" si="15"/>
        <v>30</v>
      </c>
      <c r="K34" s="3" t="s">
        <v>114</v>
      </c>
      <c r="L34" s="24">
        <v>30</v>
      </c>
    </row>
    <row r="35" spans="1:12" x14ac:dyDescent="0.2">
      <c r="A35" s="3"/>
      <c r="B35" s="3"/>
      <c r="C35" s="3"/>
      <c r="D35" s="21">
        <f t="shared" si="16"/>
        <v>8</v>
      </c>
      <c r="E35" s="4" t="s">
        <v>179</v>
      </c>
      <c r="F35" s="16">
        <f t="shared" si="17"/>
        <v>8</v>
      </c>
      <c r="G35" s="13">
        <f t="shared" si="13"/>
        <v>31</v>
      </c>
      <c r="H35" s="3" t="s">
        <v>7</v>
      </c>
      <c r="I35" s="22">
        <f t="shared" si="14"/>
        <v>31</v>
      </c>
      <c r="J35" s="27">
        <f t="shared" si="15"/>
        <v>31</v>
      </c>
      <c r="K35" s="2" t="s">
        <v>39</v>
      </c>
      <c r="L35" s="24">
        <v>31</v>
      </c>
    </row>
    <row r="36" spans="1:12" x14ac:dyDescent="0.2">
      <c r="A36" s="3"/>
      <c r="B36" s="3"/>
      <c r="C36" s="3"/>
      <c r="D36" s="21">
        <f t="shared" si="16"/>
        <v>8</v>
      </c>
      <c r="E36" s="4" t="s">
        <v>179</v>
      </c>
      <c r="F36" s="16">
        <f t="shared" si="17"/>
        <v>8</v>
      </c>
      <c r="G36" s="13">
        <f t="shared" si="13"/>
        <v>32</v>
      </c>
      <c r="H36" s="137" t="s">
        <v>169</v>
      </c>
      <c r="I36" s="22">
        <f t="shared" si="14"/>
        <v>32</v>
      </c>
      <c r="J36" s="27">
        <f t="shared" si="15"/>
        <v>32</v>
      </c>
      <c r="K36" s="1" t="s">
        <v>4</v>
      </c>
      <c r="L36" s="24">
        <v>32</v>
      </c>
    </row>
    <row r="37" spans="1:12" x14ac:dyDescent="0.2">
      <c r="A37" s="3"/>
      <c r="B37" s="3"/>
      <c r="C37" s="3"/>
      <c r="D37" s="21">
        <f t="shared" si="16"/>
        <v>8</v>
      </c>
      <c r="E37" s="4" t="s">
        <v>179</v>
      </c>
      <c r="F37" s="16">
        <f t="shared" si="17"/>
        <v>8</v>
      </c>
      <c r="G37" s="13">
        <f t="shared" si="13"/>
        <v>33</v>
      </c>
      <c r="H37" s="3" t="s">
        <v>220</v>
      </c>
      <c r="I37" s="22">
        <f t="shared" si="14"/>
        <v>33</v>
      </c>
      <c r="J37" s="27">
        <f t="shared" ref="J37:J100" si="18">L37</f>
        <v>33</v>
      </c>
      <c r="K37" s="3" t="s">
        <v>1</v>
      </c>
      <c r="L37" s="24">
        <v>33</v>
      </c>
    </row>
    <row r="38" spans="1:12" x14ac:dyDescent="0.2">
      <c r="A38" s="3"/>
      <c r="B38" s="3"/>
      <c r="C38" s="3"/>
      <c r="D38" s="21">
        <f t="shared" si="16"/>
        <v>8</v>
      </c>
      <c r="E38" s="4" t="s">
        <v>179</v>
      </c>
      <c r="F38" s="16">
        <f t="shared" si="17"/>
        <v>8</v>
      </c>
      <c r="G38" s="13">
        <f t="shared" si="13"/>
        <v>34</v>
      </c>
      <c r="H38" s="1" t="s">
        <v>118</v>
      </c>
      <c r="I38" s="22">
        <f t="shared" si="14"/>
        <v>34</v>
      </c>
      <c r="J38" s="27">
        <f t="shared" si="18"/>
        <v>34</v>
      </c>
      <c r="K38" s="3" t="s">
        <v>163</v>
      </c>
      <c r="L38" s="24">
        <v>34</v>
      </c>
    </row>
    <row r="39" spans="1:12" x14ac:dyDescent="0.2">
      <c r="A39" s="3"/>
      <c r="B39" s="3"/>
      <c r="C39" s="3"/>
      <c r="D39" s="21">
        <f t="shared" ref="D39" si="19">VLOOKUP(E39,$B$5:$C$20,2,FALSE)</f>
        <v>9</v>
      </c>
      <c r="E39" s="4" t="s">
        <v>53</v>
      </c>
      <c r="F39" s="16">
        <f t="shared" ref="F39" si="20">VLOOKUP(E39,$B$5:$C$20,2,FALSE)</f>
        <v>9</v>
      </c>
      <c r="G39" s="13">
        <f t="shared" si="13"/>
        <v>35</v>
      </c>
      <c r="H39" s="3" t="s">
        <v>74</v>
      </c>
      <c r="I39" s="22">
        <f t="shared" si="14"/>
        <v>35</v>
      </c>
      <c r="J39" s="27">
        <f>L39</f>
        <v>35</v>
      </c>
      <c r="K39" s="2" t="s">
        <v>13</v>
      </c>
      <c r="L39" s="24">
        <v>35</v>
      </c>
    </row>
    <row r="40" spans="1:12" x14ac:dyDescent="0.2">
      <c r="A40" s="3"/>
      <c r="B40" s="3"/>
      <c r="C40" s="3"/>
      <c r="D40" s="21">
        <f t="shared" si="16"/>
        <v>9</v>
      </c>
      <c r="E40" s="4" t="s">
        <v>53</v>
      </c>
      <c r="F40" s="16">
        <f t="shared" si="17"/>
        <v>9</v>
      </c>
      <c r="G40" s="13">
        <f t="shared" si="13"/>
        <v>36</v>
      </c>
      <c r="H40" s="3" t="s">
        <v>62</v>
      </c>
      <c r="I40" s="22">
        <f t="shared" si="14"/>
        <v>36</v>
      </c>
      <c r="J40" s="27">
        <f t="shared" si="18"/>
        <v>36</v>
      </c>
      <c r="K40" s="1" t="s">
        <v>44</v>
      </c>
      <c r="L40" s="24">
        <v>36</v>
      </c>
    </row>
    <row r="41" spans="1:12" x14ac:dyDescent="0.2">
      <c r="A41" s="3"/>
      <c r="B41" s="3"/>
      <c r="C41" s="3"/>
      <c r="D41" s="21">
        <f t="shared" si="16"/>
        <v>9</v>
      </c>
      <c r="E41" s="4" t="s">
        <v>53</v>
      </c>
      <c r="F41" s="16">
        <f t="shared" si="17"/>
        <v>9</v>
      </c>
      <c r="G41" s="13">
        <f t="shared" si="13"/>
        <v>37</v>
      </c>
      <c r="H41" s="3" t="s">
        <v>80</v>
      </c>
      <c r="I41" s="22">
        <f t="shared" si="14"/>
        <v>37</v>
      </c>
      <c r="J41" s="27">
        <f t="shared" si="18"/>
        <v>37</v>
      </c>
      <c r="K41" s="2" t="s">
        <v>13</v>
      </c>
      <c r="L41" s="24">
        <v>37</v>
      </c>
    </row>
    <row r="42" spans="1:12" x14ac:dyDescent="0.2">
      <c r="A42" s="3"/>
      <c r="B42" s="3"/>
      <c r="C42" s="3"/>
      <c r="D42" s="21">
        <f t="shared" si="16"/>
        <v>9</v>
      </c>
      <c r="E42" s="4" t="s">
        <v>53</v>
      </c>
      <c r="F42" s="16">
        <f t="shared" si="17"/>
        <v>9</v>
      </c>
      <c r="G42" s="13">
        <f t="shared" si="13"/>
        <v>38</v>
      </c>
      <c r="H42" s="3" t="s">
        <v>79</v>
      </c>
      <c r="I42" s="22">
        <f t="shared" si="14"/>
        <v>38</v>
      </c>
      <c r="J42" s="27">
        <f t="shared" si="18"/>
        <v>38</v>
      </c>
      <c r="K42" s="3" t="s">
        <v>13</v>
      </c>
      <c r="L42" s="24">
        <v>38</v>
      </c>
    </row>
    <row r="43" spans="1:12" x14ac:dyDescent="0.2">
      <c r="A43" s="3"/>
      <c r="B43" s="3"/>
      <c r="C43" s="3"/>
      <c r="D43" s="21">
        <f t="shared" si="16"/>
        <v>9</v>
      </c>
      <c r="E43" s="4" t="s">
        <v>53</v>
      </c>
      <c r="F43" s="16">
        <f t="shared" si="17"/>
        <v>9</v>
      </c>
      <c r="G43" s="13">
        <f t="shared" si="13"/>
        <v>39</v>
      </c>
      <c r="H43" s="3" t="s">
        <v>72</v>
      </c>
      <c r="I43" s="22">
        <f t="shared" si="14"/>
        <v>39</v>
      </c>
      <c r="J43" s="27">
        <f t="shared" si="18"/>
        <v>39</v>
      </c>
      <c r="K43" s="3" t="s">
        <v>106</v>
      </c>
      <c r="L43" s="24">
        <v>39</v>
      </c>
    </row>
    <row r="44" spans="1:12" x14ac:dyDescent="0.2">
      <c r="A44" s="3"/>
      <c r="B44" s="3"/>
      <c r="C44" s="3"/>
      <c r="D44" s="21">
        <f t="shared" si="16"/>
        <v>9</v>
      </c>
      <c r="E44" s="4" t="s">
        <v>53</v>
      </c>
      <c r="F44" s="16">
        <f t="shared" si="17"/>
        <v>9</v>
      </c>
      <c r="G44" s="13">
        <f t="shared" si="13"/>
        <v>40</v>
      </c>
      <c r="H44" s="3" t="s">
        <v>68</v>
      </c>
      <c r="I44" s="22">
        <f t="shared" si="14"/>
        <v>40</v>
      </c>
      <c r="J44" s="27">
        <f t="shared" si="18"/>
        <v>40</v>
      </c>
      <c r="K44" s="3" t="s">
        <v>29</v>
      </c>
      <c r="L44" s="24">
        <v>40</v>
      </c>
    </row>
    <row r="45" spans="1:12" x14ac:dyDescent="0.2">
      <c r="A45" s="3"/>
      <c r="B45" s="3"/>
      <c r="C45" s="3"/>
      <c r="D45" s="21">
        <f t="shared" si="16"/>
        <v>9</v>
      </c>
      <c r="E45" s="4" t="s">
        <v>53</v>
      </c>
      <c r="F45" s="16">
        <f t="shared" si="17"/>
        <v>9</v>
      </c>
      <c r="G45" s="13">
        <f t="shared" si="13"/>
        <v>41</v>
      </c>
      <c r="H45" s="3" t="s">
        <v>93</v>
      </c>
      <c r="I45" s="22">
        <f t="shared" si="14"/>
        <v>41</v>
      </c>
      <c r="J45" s="27">
        <f t="shared" si="18"/>
        <v>41</v>
      </c>
      <c r="K45" s="3" t="s">
        <v>259</v>
      </c>
      <c r="L45" s="24">
        <v>41</v>
      </c>
    </row>
    <row r="46" spans="1:12" x14ac:dyDescent="0.2">
      <c r="A46" s="3"/>
      <c r="B46" s="3"/>
      <c r="C46" s="3"/>
      <c r="D46" s="21">
        <f t="shared" si="16"/>
        <v>9</v>
      </c>
      <c r="E46" s="4" t="s">
        <v>53</v>
      </c>
      <c r="F46" s="16">
        <f t="shared" si="17"/>
        <v>9</v>
      </c>
      <c r="G46" s="13">
        <f t="shared" si="13"/>
        <v>42</v>
      </c>
      <c r="H46" s="3" t="s">
        <v>14</v>
      </c>
      <c r="I46" s="22">
        <f t="shared" si="14"/>
        <v>42</v>
      </c>
      <c r="J46" s="27">
        <f t="shared" si="18"/>
        <v>42</v>
      </c>
      <c r="K46" s="3" t="s">
        <v>258</v>
      </c>
      <c r="L46" s="24">
        <v>42</v>
      </c>
    </row>
    <row r="47" spans="1:12" x14ac:dyDescent="0.2">
      <c r="A47" s="3"/>
      <c r="B47" s="3"/>
      <c r="C47" s="3"/>
      <c r="D47" s="21">
        <f t="shared" si="16"/>
        <v>9</v>
      </c>
      <c r="E47" s="4" t="s">
        <v>53</v>
      </c>
      <c r="F47" s="16">
        <f t="shared" si="17"/>
        <v>9</v>
      </c>
      <c r="G47" s="13">
        <f t="shared" si="13"/>
        <v>43</v>
      </c>
      <c r="H47" s="3" t="s">
        <v>87</v>
      </c>
      <c r="I47" s="22">
        <f t="shared" si="14"/>
        <v>43</v>
      </c>
      <c r="J47" s="27">
        <f t="shared" si="18"/>
        <v>43</v>
      </c>
      <c r="K47" s="2" t="s">
        <v>4</v>
      </c>
      <c r="L47" s="24">
        <v>43</v>
      </c>
    </row>
    <row r="48" spans="1:12" x14ac:dyDescent="0.2">
      <c r="A48" s="3"/>
      <c r="B48" s="3"/>
      <c r="C48" s="3"/>
      <c r="D48" s="21">
        <f t="shared" si="16"/>
        <v>10</v>
      </c>
      <c r="E48" s="4" t="s">
        <v>82</v>
      </c>
      <c r="F48" s="16">
        <f t="shared" si="17"/>
        <v>10</v>
      </c>
      <c r="G48" s="13">
        <f t="shared" si="13"/>
        <v>44</v>
      </c>
      <c r="H48" s="1" t="s">
        <v>81</v>
      </c>
      <c r="I48" s="22">
        <f t="shared" si="14"/>
        <v>44</v>
      </c>
      <c r="J48" s="27">
        <f t="shared" si="18"/>
        <v>44</v>
      </c>
      <c r="K48" s="3" t="s">
        <v>64</v>
      </c>
      <c r="L48" s="24">
        <v>44</v>
      </c>
    </row>
    <row r="49" spans="1:12" x14ac:dyDescent="0.2">
      <c r="A49" s="3"/>
      <c r="B49" s="3"/>
      <c r="C49" s="3"/>
      <c r="D49" s="21">
        <f t="shared" si="16"/>
        <v>11</v>
      </c>
      <c r="E49" s="4" t="s">
        <v>180</v>
      </c>
      <c r="F49" s="16">
        <f t="shared" si="17"/>
        <v>11</v>
      </c>
      <c r="G49" s="13">
        <f t="shared" si="13"/>
        <v>45</v>
      </c>
      <c r="H49" s="1" t="s">
        <v>93</v>
      </c>
      <c r="I49" s="22">
        <f t="shared" si="14"/>
        <v>45</v>
      </c>
      <c r="J49" s="27">
        <f t="shared" si="18"/>
        <v>45</v>
      </c>
      <c r="K49" s="1" t="s">
        <v>13</v>
      </c>
      <c r="L49" s="24">
        <v>45</v>
      </c>
    </row>
    <row r="50" spans="1:12" x14ac:dyDescent="0.2">
      <c r="A50" s="3"/>
      <c r="B50" s="3"/>
      <c r="C50" s="3"/>
      <c r="D50" s="21">
        <f t="shared" si="16"/>
        <v>11</v>
      </c>
      <c r="E50" s="4" t="s">
        <v>180</v>
      </c>
      <c r="F50" s="16">
        <f t="shared" si="17"/>
        <v>11</v>
      </c>
      <c r="G50" s="13">
        <f t="shared" si="13"/>
        <v>46</v>
      </c>
      <c r="H50" s="3" t="s">
        <v>14</v>
      </c>
      <c r="I50" s="22">
        <f t="shared" si="14"/>
        <v>46</v>
      </c>
      <c r="J50" s="27">
        <f t="shared" si="18"/>
        <v>46</v>
      </c>
      <c r="K50" s="3" t="s">
        <v>66</v>
      </c>
      <c r="L50" s="24">
        <v>46</v>
      </c>
    </row>
    <row r="51" spans="1:12" x14ac:dyDescent="0.2">
      <c r="A51" s="3"/>
      <c r="B51" s="3"/>
      <c r="C51" s="3"/>
      <c r="D51" s="21">
        <f t="shared" si="16"/>
        <v>11</v>
      </c>
      <c r="E51" s="4" t="s">
        <v>180</v>
      </c>
      <c r="F51" s="16">
        <f t="shared" si="17"/>
        <v>11</v>
      </c>
      <c r="G51" s="13">
        <f t="shared" si="13"/>
        <v>47</v>
      </c>
      <c r="H51" s="1" t="s">
        <v>22</v>
      </c>
      <c r="I51" s="22">
        <f t="shared" si="14"/>
        <v>47</v>
      </c>
      <c r="J51" s="27">
        <f t="shared" si="18"/>
        <v>47</v>
      </c>
      <c r="K51" s="2" t="s">
        <v>1</v>
      </c>
      <c r="L51" s="24">
        <v>47</v>
      </c>
    </row>
    <row r="52" spans="1:12" x14ac:dyDescent="0.2">
      <c r="A52" s="3"/>
      <c r="B52" s="3"/>
      <c r="C52" s="3"/>
      <c r="D52" s="21">
        <f t="shared" si="16"/>
        <v>11</v>
      </c>
      <c r="E52" s="4" t="s">
        <v>180</v>
      </c>
      <c r="F52" s="16">
        <f t="shared" si="17"/>
        <v>11</v>
      </c>
      <c r="G52" s="13">
        <f t="shared" si="13"/>
        <v>48</v>
      </c>
      <c r="H52" s="3" t="s">
        <v>87</v>
      </c>
      <c r="I52" s="22">
        <f t="shared" si="14"/>
        <v>48</v>
      </c>
      <c r="J52" s="27">
        <f t="shared" si="18"/>
        <v>48</v>
      </c>
      <c r="K52" s="3" t="s">
        <v>13</v>
      </c>
      <c r="L52" s="24">
        <v>48</v>
      </c>
    </row>
    <row r="53" spans="1:12" x14ac:dyDescent="0.2">
      <c r="A53" s="3"/>
      <c r="B53" s="3"/>
      <c r="C53" s="3"/>
      <c r="D53" s="21">
        <f t="shared" si="16"/>
        <v>12</v>
      </c>
      <c r="E53" s="4" t="s">
        <v>326</v>
      </c>
      <c r="F53" s="16">
        <f t="shared" si="17"/>
        <v>12</v>
      </c>
      <c r="G53" s="13">
        <f t="shared" si="13"/>
        <v>49</v>
      </c>
      <c r="H53" s="3" t="s">
        <v>23</v>
      </c>
      <c r="I53" s="22">
        <f t="shared" si="14"/>
        <v>49</v>
      </c>
      <c r="J53" s="27">
        <f t="shared" si="18"/>
        <v>49</v>
      </c>
      <c r="K53" s="1" t="s">
        <v>29</v>
      </c>
      <c r="L53" s="24">
        <v>49</v>
      </c>
    </row>
    <row r="54" spans="1:12" x14ac:dyDescent="0.2">
      <c r="A54" s="3"/>
      <c r="B54" s="3"/>
      <c r="C54" s="3"/>
      <c r="D54" s="21">
        <f t="shared" si="16"/>
        <v>12</v>
      </c>
      <c r="E54" s="4" t="s">
        <v>326</v>
      </c>
      <c r="F54" s="16">
        <f t="shared" si="17"/>
        <v>12</v>
      </c>
      <c r="G54" s="13">
        <f t="shared" si="13"/>
        <v>50</v>
      </c>
      <c r="H54" s="1" t="s">
        <v>17</v>
      </c>
      <c r="I54" s="22">
        <f t="shared" si="14"/>
        <v>50</v>
      </c>
      <c r="J54" s="27">
        <f t="shared" si="18"/>
        <v>50</v>
      </c>
      <c r="K54" s="1" t="s">
        <v>4</v>
      </c>
      <c r="L54" s="24">
        <v>50</v>
      </c>
    </row>
    <row r="55" spans="1:12" x14ac:dyDescent="0.2">
      <c r="A55" s="3"/>
      <c r="B55" s="3"/>
      <c r="C55" s="3"/>
      <c r="D55" s="21">
        <f t="shared" si="16"/>
        <v>12</v>
      </c>
      <c r="E55" s="4" t="s">
        <v>326</v>
      </c>
      <c r="F55" s="16">
        <f t="shared" si="17"/>
        <v>12</v>
      </c>
      <c r="G55" s="13">
        <f t="shared" si="13"/>
        <v>51</v>
      </c>
      <c r="H55" s="3" t="s">
        <v>87</v>
      </c>
      <c r="I55" s="22">
        <f t="shared" si="14"/>
        <v>51</v>
      </c>
      <c r="J55" s="27">
        <f t="shared" si="18"/>
        <v>51</v>
      </c>
      <c r="K55" s="2" t="s">
        <v>1</v>
      </c>
      <c r="L55" s="24">
        <v>51</v>
      </c>
    </row>
    <row r="56" spans="1:12" x14ac:dyDescent="0.2">
      <c r="A56" s="3"/>
      <c r="B56" s="3"/>
      <c r="C56" s="3"/>
      <c r="D56" s="21">
        <f t="shared" si="16"/>
        <v>12</v>
      </c>
      <c r="E56" s="4" t="s">
        <v>326</v>
      </c>
      <c r="F56" s="16">
        <f t="shared" si="17"/>
        <v>12</v>
      </c>
      <c r="G56" s="13">
        <f t="shared" si="13"/>
        <v>52</v>
      </c>
      <c r="H56" s="3" t="s">
        <v>18</v>
      </c>
      <c r="I56" s="22">
        <f t="shared" si="14"/>
        <v>52</v>
      </c>
      <c r="J56" s="27">
        <f t="shared" si="18"/>
        <v>52</v>
      </c>
      <c r="K56" s="3" t="s">
        <v>13</v>
      </c>
      <c r="L56" s="24">
        <v>52</v>
      </c>
    </row>
    <row r="57" spans="1:12" x14ac:dyDescent="0.2">
      <c r="A57" s="3"/>
      <c r="B57" s="3"/>
      <c r="C57" s="3"/>
      <c r="D57" s="21">
        <f t="shared" si="16"/>
        <v>12</v>
      </c>
      <c r="E57" s="4" t="s">
        <v>326</v>
      </c>
      <c r="F57" s="16">
        <f t="shared" si="17"/>
        <v>12</v>
      </c>
      <c r="G57" s="13">
        <f t="shared" si="13"/>
        <v>53</v>
      </c>
      <c r="H57" s="3" t="s">
        <v>15</v>
      </c>
      <c r="I57" s="22">
        <f t="shared" si="14"/>
        <v>53</v>
      </c>
      <c r="J57" s="27">
        <f t="shared" si="18"/>
        <v>53</v>
      </c>
      <c r="K57" s="1" t="s">
        <v>4</v>
      </c>
      <c r="L57" s="24">
        <v>53</v>
      </c>
    </row>
    <row r="58" spans="1:12" x14ac:dyDescent="0.2">
      <c r="A58" s="3"/>
      <c r="B58" s="3"/>
      <c r="C58" s="3"/>
      <c r="D58" s="21">
        <f t="shared" si="16"/>
        <v>12</v>
      </c>
      <c r="E58" s="4" t="s">
        <v>326</v>
      </c>
      <c r="F58" s="16">
        <f t="shared" si="17"/>
        <v>12</v>
      </c>
      <c r="G58" s="13">
        <f t="shared" si="13"/>
        <v>54</v>
      </c>
      <c r="H58" s="3" t="s">
        <v>220</v>
      </c>
      <c r="I58" s="22">
        <f t="shared" si="14"/>
        <v>54</v>
      </c>
      <c r="J58" s="27">
        <f t="shared" si="18"/>
        <v>54</v>
      </c>
      <c r="K58" s="2" t="s">
        <v>28</v>
      </c>
      <c r="L58" s="24">
        <v>54</v>
      </c>
    </row>
    <row r="59" spans="1:12" x14ac:dyDescent="0.2">
      <c r="A59" s="3"/>
      <c r="B59" s="3"/>
      <c r="C59" s="3"/>
      <c r="D59" s="21">
        <f t="shared" si="16"/>
        <v>12</v>
      </c>
      <c r="E59" s="4" t="s">
        <v>326</v>
      </c>
      <c r="F59" s="16">
        <f t="shared" si="17"/>
        <v>12</v>
      </c>
      <c r="G59" s="13">
        <f t="shared" si="13"/>
        <v>55</v>
      </c>
      <c r="H59" s="3" t="s">
        <v>10</v>
      </c>
      <c r="I59" s="22">
        <f t="shared" si="14"/>
        <v>55</v>
      </c>
      <c r="J59" s="27">
        <f t="shared" si="18"/>
        <v>55</v>
      </c>
      <c r="K59" s="3" t="s">
        <v>64</v>
      </c>
      <c r="L59" s="24">
        <v>55</v>
      </c>
    </row>
    <row r="60" spans="1:12" x14ac:dyDescent="0.2">
      <c r="A60" s="3"/>
      <c r="B60" s="3"/>
      <c r="C60" s="3"/>
      <c r="D60" s="21">
        <f t="shared" si="16"/>
        <v>13</v>
      </c>
      <c r="E60" s="4" t="s">
        <v>63</v>
      </c>
      <c r="F60" s="16">
        <f t="shared" si="17"/>
        <v>13</v>
      </c>
      <c r="G60" s="13">
        <f t="shared" si="13"/>
        <v>56</v>
      </c>
      <c r="H60" s="3" t="s">
        <v>62</v>
      </c>
      <c r="I60" s="22">
        <f t="shared" si="14"/>
        <v>56</v>
      </c>
      <c r="J60" s="27">
        <f t="shared" si="18"/>
        <v>56</v>
      </c>
      <c r="K60" s="3" t="s">
        <v>69</v>
      </c>
      <c r="L60" s="24">
        <v>56</v>
      </c>
    </row>
    <row r="61" spans="1:12" x14ac:dyDescent="0.2">
      <c r="A61" s="3"/>
      <c r="B61" s="3"/>
      <c r="C61" s="3"/>
      <c r="D61" s="21">
        <f t="shared" si="16"/>
        <v>13</v>
      </c>
      <c r="E61" s="4" t="s">
        <v>63</v>
      </c>
      <c r="F61" s="16">
        <f t="shared" si="17"/>
        <v>13</v>
      </c>
      <c r="G61" s="13">
        <f t="shared" si="13"/>
        <v>57</v>
      </c>
      <c r="H61" s="7" t="s">
        <v>94</v>
      </c>
      <c r="I61" s="22">
        <f t="shared" si="14"/>
        <v>57</v>
      </c>
      <c r="J61" s="27">
        <f t="shared" si="18"/>
        <v>57</v>
      </c>
      <c r="K61" s="3" t="s">
        <v>64</v>
      </c>
      <c r="L61" s="24">
        <v>57</v>
      </c>
    </row>
    <row r="62" spans="1:12" x14ac:dyDescent="0.2">
      <c r="A62" s="3"/>
      <c r="B62" s="3"/>
      <c r="C62" s="3"/>
      <c r="D62" s="21">
        <f t="shared" si="16"/>
        <v>13</v>
      </c>
      <c r="E62" s="4" t="s">
        <v>63</v>
      </c>
      <c r="F62" s="16">
        <f t="shared" si="17"/>
        <v>13</v>
      </c>
      <c r="G62" s="13">
        <f t="shared" si="13"/>
        <v>58</v>
      </c>
      <c r="H62" s="1" t="s">
        <v>37</v>
      </c>
      <c r="I62" s="22">
        <f t="shared" si="14"/>
        <v>58</v>
      </c>
      <c r="J62" s="27">
        <f t="shared" si="18"/>
        <v>58</v>
      </c>
      <c r="K62" s="3" t="s">
        <v>70</v>
      </c>
      <c r="L62" s="24">
        <v>58</v>
      </c>
    </row>
    <row r="63" spans="1:12" x14ac:dyDescent="0.2">
      <c r="A63" s="3"/>
      <c r="B63" s="3"/>
      <c r="C63" s="3"/>
      <c r="D63" s="21">
        <f t="shared" si="16"/>
        <v>13</v>
      </c>
      <c r="E63" s="4" t="s">
        <v>63</v>
      </c>
      <c r="F63" s="16">
        <f t="shared" si="17"/>
        <v>13</v>
      </c>
      <c r="G63" s="13">
        <f t="shared" si="13"/>
        <v>59</v>
      </c>
      <c r="H63" s="1" t="s">
        <v>40</v>
      </c>
      <c r="I63" s="22">
        <f t="shared" si="14"/>
        <v>59</v>
      </c>
      <c r="J63" s="27">
        <f t="shared" si="18"/>
        <v>59</v>
      </c>
      <c r="K63" s="1" t="s">
        <v>4</v>
      </c>
      <c r="L63" s="24">
        <v>59</v>
      </c>
    </row>
    <row r="64" spans="1:12" x14ac:dyDescent="0.2">
      <c r="A64" s="3"/>
      <c r="B64" s="3"/>
      <c r="C64" s="3"/>
      <c r="D64" s="21">
        <f t="shared" si="16"/>
        <v>13</v>
      </c>
      <c r="E64" s="4" t="s">
        <v>63</v>
      </c>
      <c r="F64" s="16">
        <f t="shared" si="17"/>
        <v>13</v>
      </c>
      <c r="G64" s="13">
        <f t="shared" si="13"/>
        <v>60</v>
      </c>
      <c r="H64" s="1" t="s">
        <v>98</v>
      </c>
      <c r="I64" s="22">
        <f t="shared" si="14"/>
        <v>60</v>
      </c>
      <c r="J64" s="27">
        <f t="shared" si="18"/>
        <v>61</v>
      </c>
      <c r="K64" s="3" t="s">
        <v>29</v>
      </c>
      <c r="L64" s="24">
        <v>61</v>
      </c>
    </row>
    <row r="65" spans="1:12" x14ac:dyDescent="0.2">
      <c r="A65" s="3"/>
      <c r="B65" s="3"/>
      <c r="C65" s="3"/>
      <c r="D65" s="21">
        <f t="shared" si="16"/>
        <v>13</v>
      </c>
      <c r="E65" s="4" t="s">
        <v>63</v>
      </c>
      <c r="F65" s="16">
        <f t="shared" si="17"/>
        <v>13</v>
      </c>
      <c r="G65" s="13">
        <f t="shared" si="13"/>
        <v>61</v>
      </c>
      <c r="H65" s="1" t="s">
        <v>99</v>
      </c>
      <c r="I65" s="22">
        <f t="shared" si="14"/>
        <v>61</v>
      </c>
      <c r="J65" s="27">
        <f t="shared" si="18"/>
        <v>62</v>
      </c>
      <c r="K65" s="1" t="s">
        <v>4</v>
      </c>
      <c r="L65" s="24">
        <v>62</v>
      </c>
    </row>
    <row r="66" spans="1:12" x14ac:dyDescent="0.2">
      <c r="A66" s="3"/>
      <c r="B66" s="3"/>
      <c r="C66" s="3"/>
      <c r="D66" s="21">
        <f t="shared" si="16"/>
        <v>14</v>
      </c>
      <c r="E66" s="4" t="s">
        <v>181</v>
      </c>
      <c r="F66" s="16">
        <f t="shared" si="17"/>
        <v>14</v>
      </c>
      <c r="G66" s="13">
        <f t="shared" si="13"/>
        <v>62</v>
      </c>
      <c r="H66" s="3" t="s">
        <v>38</v>
      </c>
      <c r="I66" s="22">
        <f t="shared" si="14"/>
        <v>62</v>
      </c>
      <c r="J66" s="27">
        <f t="shared" si="18"/>
        <v>63</v>
      </c>
      <c r="K66" s="2" t="s">
        <v>28</v>
      </c>
      <c r="L66" s="24">
        <v>63</v>
      </c>
    </row>
    <row r="67" spans="1:12" x14ac:dyDescent="0.2">
      <c r="A67" s="3"/>
      <c r="B67" s="3"/>
      <c r="C67" s="3"/>
      <c r="D67" s="21">
        <f t="shared" si="16"/>
        <v>15</v>
      </c>
      <c r="E67" s="4" t="s">
        <v>182</v>
      </c>
      <c r="F67" s="16">
        <f t="shared" si="17"/>
        <v>15</v>
      </c>
      <c r="G67" s="13">
        <f t="shared" si="13"/>
        <v>63</v>
      </c>
      <c r="H67" s="138" t="s">
        <v>325</v>
      </c>
      <c r="I67" s="22">
        <f t="shared" si="14"/>
        <v>63</v>
      </c>
      <c r="J67" s="27">
        <f t="shared" si="18"/>
        <v>64</v>
      </c>
      <c r="K67" s="3" t="s">
        <v>97</v>
      </c>
      <c r="L67" s="24">
        <v>64</v>
      </c>
    </row>
    <row r="68" spans="1:12" x14ac:dyDescent="0.2">
      <c r="A68" s="3"/>
      <c r="B68" s="3"/>
      <c r="C68" s="3"/>
      <c r="I68" s="22"/>
      <c r="J68" s="27">
        <f t="shared" si="18"/>
        <v>65</v>
      </c>
      <c r="K68" s="3" t="s">
        <v>73</v>
      </c>
      <c r="L68" s="24">
        <v>65</v>
      </c>
    </row>
    <row r="69" spans="1:12" x14ac:dyDescent="0.2">
      <c r="A69" s="3"/>
      <c r="B69" s="3"/>
      <c r="C69" s="3"/>
      <c r="I69" s="22"/>
      <c r="J69" s="27">
        <f t="shared" si="18"/>
        <v>66</v>
      </c>
      <c r="K69" s="3" t="s">
        <v>64</v>
      </c>
      <c r="L69" s="24">
        <v>66</v>
      </c>
    </row>
    <row r="70" spans="1:12" x14ac:dyDescent="0.2">
      <c r="A70" s="3"/>
      <c r="B70" s="3"/>
      <c r="C70" s="3"/>
      <c r="I70" s="22"/>
      <c r="J70" s="27">
        <f t="shared" si="18"/>
        <v>67</v>
      </c>
      <c r="K70" s="3" t="s">
        <v>130</v>
      </c>
      <c r="L70" s="24">
        <v>67</v>
      </c>
    </row>
    <row r="71" spans="1:12" x14ac:dyDescent="0.2">
      <c r="A71" s="3"/>
      <c r="B71" s="3"/>
      <c r="C71" s="3"/>
      <c r="I71" s="22"/>
      <c r="J71" s="27">
        <f t="shared" si="18"/>
        <v>68</v>
      </c>
      <c r="K71" s="3" t="s">
        <v>132</v>
      </c>
      <c r="L71" s="24">
        <v>68</v>
      </c>
    </row>
    <row r="72" spans="1:12" x14ac:dyDescent="0.2">
      <c r="A72" s="3"/>
      <c r="B72" s="3"/>
      <c r="C72" s="3"/>
      <c r="D72" s="21"/>
      <c r="E72" s="4"/>
      <c r="F72" s="16"/>
      <c r="G72" s="13"/>
      <c r="H72" s="1"/>
      <c r="I72" s="22"/>
      <c r="J72" s="27">
        <f t="shared" si="18"/>
        <v>69</v>
      </c>
      <c r="K72" s="3" t="s">
        <v>131</v>
      </c>
      <c r="L72" s="24">
        <v>69</v>
      </c>
    </row>
    <row r="73" spans="1:12" x14ac:dyDescent="0.2">
      <c r="A73" s="3"/>
      <c r="B73" s="3"/>
      <c r="C73" s="3"/>
      <c r="D73" s="21"/>
      <c r="E73" s="4"/>
      <c r="F73" s="16"/>
      <c r="G73" s="13"/>
      <c r="H73" s="1"/>
      <c r="I73" s="22"/>
      <c r="J73" s="27">
        <f t="shared" si="18"/>
        <v>70</v>
      </c>
      <c r="K73" s="3" t="s">
        <v>327</v>
      </c>
      <c r="L73" s="24">
        <v>70</v>
      </c>
    </row>
    <row r="74" spans="1:12" x14ac:dyDescent="0.2">
      <c r="A74" s="3"/>
      <c r="B74" s="3"/>
      <c r="C74" s="3"/>
      <c r="D74" s="21"/>
      <c r="E74" s="4"/>
      <c r="F74" s="16"/>
      <c r="G74" s="13"/>
      <c r="H74" s="1"/>
      <c r="I74" s="22"/>
      <c r="J74" s="27">
        <f t="shared" si="18"/>
        <v>71</v>
      </c>
      <c r="K74" s="62" t="s">
        <v>255</v>
      </c>
      <c r="L74" s="24">
        <v>71</v>
      </c>
    </row>
    <row r="75" spans="1:12" x14ac:dyDescent="0.2">
      <c r="A75" s="3"/>
      <c r="B75" s="3"/>
      <c r="C75" s="3"/>
      <c r="G75" s="13"/>
      <c r="I75" s="22"/>
      <c r="J75" s="27">
        <f t="shared" si="18"/>
        <v>72</v>
      </c>
      <c r="K75" s="3" t="s">
        <v>64</v>
      </c>
      <c r="L75" s="24">
        <v>72</v>
      </c>
    </row>
    <row r="76" spans="1:12" x14ac:dyDescent="0.2">
      <c r="A76" s="3"/>
      <c r="B76" s="3"/>
      <c r="C76" s="3"/>
      <c r="G76" s="13"/>
      <c r="I76" s="22"/>
      <c r="J76" s="27">
        <f t="shared" si="18"/>
        <v>73</v>
      </c>
      <c r="K76" s="3" t="s">
        <v>12</v>
      </c>
      <c r="L76" s="24">
        <v>73</v>
      </c>
    </row>
    <row r="77" spans="1:12" x14ac:dyDescent="0.2">
      <c r="A77" s="3"/>
      <c r="B77" s="3"/>
      <c r="C77" s="3"/>
      <c r="D77" s="21"/>
      <c r="E77" s="3"/>
      <c r="F77" s="12"/>
      <c r="G77" s="13"/>
      <c r="H77" s="3"/>
      <c r="I77" s="22"/>
      <c r="J77" s="27">
        <f t="shared" si="18"/>
        <v>74</v>
      </c>
      <c r="K77" s="1" t="s">
        <v>13</v>
      </c>
      <c r="L77" s="24">
        <v>74</v>
      </c>
    </row>
    <row r="78" spans="1:12" x14ac:dyDescent="0.2">
      <c r="A78" s="3"/>
      <c r="B78" s="3"/>
      <c r="C78" s="3"/>
      <c r="D78" s="3"/>
      <c r="E78" s="3"/>
      <c r="F78" s="3"/>
      <c r="G78" s="13"/>
      <c r="H78" s="3"/>
      <c r="I78" s="22"/>
      <c r="J78" s="27">
        <f t="shared" si="18"/>
        <v>75</v>
      </c>
      <c r="K78" s="1" t="s">
        <v>66</v>
      </c>
      <c r="L78" s="24">
        <v>75</v>
      </c>
    </row>
    <row r="79" spans="1:12" x14ac:dyDescent="0.2">
      <c r="A79" s="3"/>
      <c r="B79" s="3"/>
      <c r="C79" s="3"/>
      <c r="D79" s="3"/>
      <c r="E79" s="3"/>
      <c r="F79" s="3"/>
      <c r="G79" s="13"/>
      <c r="H79" s="3"/>
      <c r="I79" s="22"/>
      <c r="J79" s="27">
        <f t="shared" si="18"/>
        <v>76</v>
      </c>
      <c r="K79" s="1" t="s">
        <v>4</v>
      </c>
      <c r="L79" s="24">
        <v>76</v>
      </c>
    </row>
    <row r="80" spans="1:12" x14ac:dyDescent="0.2">
      <c r="A80" s="3"/>
      <c r="B80" s="3"/>
      <c r="C80" s="3"/>
      <c r="D80" s="3"/>
      <c r="E80" s="3"/>
      <c r="F80" s="3"/>
      <c r="G80" s="13"/>
      <c r="H80" s="3"/>
      <c r="I80" s="22"/>
      <c r="J80" s="27">
        <f t="shared" si="18"/>
        <v>77</v>
      </c>
      <c r="K80" s="57" t="s">
        <v>1</v>
      </c>
      <c r="L80" s="29">
        <v>77</v>
      </c>
    </row>
    <row r="81" spans="1:12" x14ac:dyDescent="0.2">
      <c r="A81" s="3"/>
      <c r="B81" s="3"/>
      <c r="C81" s="3"/>
      <c r="D81" s="3"/>
      <c r="E81" s="3"/>
      <c r="F81" s="3"/>
      <c r="G81" s="13"/>
      <c r="H81" s="3"/>
      <c r="I81" s="22"/>
      <c r="J81" s="27">
        <f t="shared" si="18"/>
        <v>78</v>
      </c>
      <c r="K81" s="59" t="s">
        <v>75</v>
      </c>
      <c r="L81" s="60">
        <v>78</v>
      </c>
    </row>
    <row r="82" spans="1:12" x14ac:dyDescent="0.2">
      <c r="A82" s="3"/>
      <c r="B82" s="3"/>
      <c r="C82" s="3"/>
      <c r="D82" s="3"/>
      <c r="E82" s="3"/>
      <c r="F82" s="3"/>
      <c r="G82" s="13"/>
      <c r="H82" s="3"/>
      <c r="I82" s="22"/>
      <c r="J82" s="27">
        <f t="shared" si="18"/>
        <v>79</v>
      </c>
      <c r="K82" s="3" t="s">
        <v>76</v>
      </c>
      <c r="L82" s="24">
        <v>79</v>
      </c>
    </row>
    <row r="83" spans="1:12" x14ac:dyDescent="0.2">
      <c r="A83" s="3"/>
      <c r="B83" s="3"/>
      <c r="C83" s="3"/>
      <c r="D83" s="3"/>
      <c r="E83" s="3"/>
      <c r="F83" s="3"/>
      <c r="G83" s="13"/>
      <c r="H83" s="3"/>
      <c r="I83" s="22"/>
      <c r="J83" s="27">
        <f t="shared" si="18"/>
        <v>80</v>
      </c>
      <c r="K83" s="1" t="s">
        <v>12</v>
      </c>
      <c r="L83" s="24">
        <v>80</v>
      </c>
    </row>
    <row r="84" spans="1:12" x14ac:dyDescent="0.2">
      <c r="A84" s="3"/>
      <c r="B84" s="3"/>
      <c r="C84" s="3"/>
      <c r="D84" s="3"/>
      <c r="E84" s="3"/>
      <c r="F84" s="3"/>
      <c r="G84" s="13"/>
      <c r="H84" s="3"/>
      <c r="I84" s="22"/>
      <c r="J84" s="27">
        <f t="shared" si="18"/>
        <v>81</v>
      </c>
      <c r="K84" s="1" t="s">
        <v>13</v>
      </c>
      <c r="L84" s="24">
        <v>81</v>
      </c>
    </row>
    <row r="85" spans="1:12" x14ac:dyDescent="0.2">
      <c r="A85" s="3"/>
      <c r="B85" s="3"/>
      <c r="C85" s="3"/>
      <c r="D85" s="3"/>
      <c r="E85" s="3"/>
      <c r="F85" s="3"/>
      <c r="G85" s="13"/>
      <c r="H85" s="3"/>
      <c r="I85" s="22"/>
      <c r="J85" s="27">
        <f t="shared" si="18"/>
        <v>82</v>
      </c>
      <c r="K85" s="1" t="s">
        <v>106</v>
      </c>
      <c r="L85" s="24">
        <v>82</v>
      </c>
    </row>
    <row r="86" spans="1:12" x14ac:dyDescent="0.2">
      <c r="A86" s="3"/>
      <c r="B86" s="3"/>
      <c r="C86" s="3"/>
      <c r="D86" s="3"/>
      <c r="E86" s="3"/>
      <c r="F86" s="3"/>
      <c r="G86" s="13"/>
      <c r="H86" s="3"/>
      <c r="I86" s="22"/>
      <c r="J86" s="27">
        <f t="shared" si="18"/>
        <v>83</v>
      </c>
      <c r="K86" s="2" t="s">
        <v>29</v>
      </c>
      <c r="L86" s="24">
        <v>83</v>
      </c>
    </row>
    <row r="87" spans="1:12" x14ac:dyDescent="0.2">
      <c r="A87" s="3"/>
      <c r="B87" s="3"/>
      <c r="C87" s="3"/>
      <c r="D87" s="3"/>
      <c r="E87" s="3"/>
      <c r="F87" s="3"/>
      <c r="G87" s="13"/>
      <c r="H87" s="3"/>
      <c r="I87" s="22"/>
      <c r="J87" s="27">
        <f t="shared" si="18"/>
        <v>84</v>
      </c>
      <c r="K87" s="1" t="s">
        <v>4</v>
      </c>
      <c r="L87" s="24">
        <v>84</v>
      </c>
    </row>
    <row r="88" spans="1:12" x14ac:dyDescent="0.2">
      <c r="A88" s="3"/>
      <c r="B88" s="3"/>
      <c r="C88" s="3"/>
      <c r="D88" s="3"/>
      <c r="E88" s="3"/>
      <c r="F88" s="3"/>
      <c r="G88" s="13"/>
      <c r="H88" s="3"/>
      <c r="I88" s="22"/>
      <c r="J88" s="27">
        <f t="shared" si="18"/>
        <v>85</v>
      </c>
      <c r="K88" s="1" t="s">
        <v>28</v>
      </c>
      <c r="L88" s="24">
        <v>85</v>
      </c>
    </row>
    <row r="89" spans="1:12" x14ac:dyDescent="0.2">
      <c r="A89" s="3"/>
      <c r="B89" s="3"/>
      <c r="C89" s="3"/>
      <c r="D89" s="3"/>
      <c r="E89" s="3"/>
      <c r="F89" s="3"/>
      <c r="G89" s="13"/>
      <c r="H89" s="3"/>
      <c r="I89" s="22"/>
      <c r="J89" s="27">
        <f t="shared" si="18"/>
        <v>86</v>
      </c>
      <c r="K89" s="1" t="s">
        <v>6</v>
      </c>
      <c r="L89" s="24">
        <v>86</v>
      </c>
    </row>
    <row r="90" spans="1:12" x14ac:dyDescent="0.2">
      <c r="A90" s="3"/>
      <c r="B90" s="3"/>
      <c r="C90" s="3"/>
      <c r="D90" s="3"/>
      <c r="E90" s="3"/>
      <c r="F90" s="3"/>
      <c r="G90" s="13"/>
      <c r="H90" s="3"/>
      <c r="I90" s="22"/>
      <c r="J90" s="27">
        <f t="shared" si="18"/>
        <v>87</v>
      </c>
      <c r="K90" s="1" t="s">
        <v>1</v>
      </c>
      <c r="L90" s="24">
        <v>87</v>
      </c>
    </row>
    <row r="91" spans="1:12" x14ac:dyDescent="0.2">
      <c r="A91" s="3"/>
      <c r="B91" s="3"/>
      <c r="C91" s="3"/>
      <c r="D91" s="3"/>
      <c r="E91" s="3"/>
      <c r="F91" s="3"/>
      <c r="G91" s="13"/>
      <c r="H91" s="3"/>
      <c r="I91" s="22"/>
      <c r="J91" s="27">
        <f t="shared" si="18"/>
        <v>88</v>
      </c>
      <c r="K91" s="1" t="s">
        <v>6</v>
      </c>
      <c r="L91" s="24">
        <v>88</v>
      </c>
    </row>
    <row r="92" spans="1:12" x14ac:dyDescent="0.2">
      <c r="A92" s="3"/>
      <c r="B92" s="3"/>
      <c r="C92" s="3"/>
      <c r="D92" s="3"/>
      <c r="E92" s="3"/>
      <c r="F92" s="3"/>
      <c r="G92" s="13"/>
      <c r="H92" s="3"/>
      <c r="I92" s="22"/>
      <c r="J92" s="27">
        <f t="shared" si="18"/>
        <v>89</v>
      </c>
      <c r="K92" s="2" t="s">
        <v>1</v>
      </c>
      <c r="L92" s="24">
        <v>89</v>
      </c>
    </row>
    <row r="93" spans="1:12" x14ac:dyDescent="0.2">
      <c r="A93" s="3"/>
      <c r="B93" s="3"/>
      <c r="C93" s="3"/>
      <c r="D93" s="3"/>
      <c r="E93" s="3"/>
      <c r="F93" s="3"/>
      <c r="G93" s="13"/>
      <c r="H93" s="3"/>
      <c r="I93" s="22"/>
      <c r="J93" s="27">
        <f t="shared" si="18"/>
        <v>90</v>
      </c>
      <c r="K93" s="1" t="s">
        <v>35</v>
      </c>
      <c r="L93" s="24">
        <v>90</v>
      </c>
    </row>
    <row r="94" spans="1:12" x14ac:dyDescent="0.2">
      <c r="A94" s="3"/>
      <c r="B94" s="3"/>
      <c r="C94" s="3"/>
      <c r="D94" s="3"/>
      <c r="E94" s="3"/>
      <c r="F94" s="3"/>
      <c r="G94" s="13"/>
      <c r="H94" s="3"/>
      <c r="I94" s="22"/>
      <c r="J94" s="27">
        <f t="shared" si="18"/>
        <v>91</v>
      </c>
      <c r="K94" s="3" t="s">
        <v>64</v>
      </c>
      <c r="L94" s="24">
        <v>91</v>
      </c>
    </row>
    <row r="95" spans="1:12" x14ac:dyDescent="0.2">
      <c r="A95" s="3"/>
      <c r="B95" s="3"/>
      <c r="C95" s="3"/>
      <c r="D95" s="3"/>
      <c r="E95" s="3"/>
      <c r="F95" s="3"/>
      <c r="G95" s="13"/>
      <c r="H95" s="3"/>
      <c r="I95" s="22"/>
      <c r="J95" s="27">
        <f t="shared" si="18"/>
        <v>92</v>
      </c>
      <c r="K95" s="1" t="s">
        <v>5</v>
      </c>
      <c r="L95" s="24">
        <v>92</v>
      </c>
    </row>
    <row r="96" spans="1:12" x14ac:dyDescent="0.2">
      <c r="A96" s="3"/>
      <c r="B96" s="3"/>
      <c r="C96" s="3"/>
      <c r="D96" s="3"/>
      <c r="E96" s="3"/>
      <c r="F96" s="3"/>
      <c r="G96" s="13"/>
      <c r="H96" s="3"/>
      <c r="I96" s="22"/>
      <c r="J96" s="27">
        <f t="shared" si="18"/>
        <v>93</v>
      </c>
      <c r="K96" s="3" t="s">
        <v>168</v>
      </c>
      <c r="L96" s="24">
        <v>93</v>
      </c>
    </row>
    <row r="97" spans="1:12" x14ac:dyDescent="0.2">
      <c r="A97" s="3"/>
      <c r="B97" s="3"/>
      <c r="C97" s="3"/>
      <c r="D97" s="3"/>
      <c r="E97" s="3"/>
      <c r="F97" s="3"/>
      <c r="G97" s="13"/>
      <c r="H97" s="3"/>
      <c r="I97" s="22"/>
      <c r="J97" s="27">
        <f t="shared" si="18"/>
        <v>94</v>
      </c>
      <c r="K97" s="1" t="s">
        <v>135</v>
      </c>
      <c r="L97" s="24">
        <v>94</v>
      </c>
    </row>
    <row r="98" spans="1:12" x14ac:dyDescent="0.2">
      <c r="A98" s="3"/>
      <c r="B98" s="3"/>
      <c r="C98" s="3"/>
      <c r="D98" s="3"/>
      <c r="E98" s="3"/>
      <c r="F98" s="3"/>
      <c r="G98" s="13"/>
      <c r="H98" s="3"/>
      <c r="I98" s="22"/>
      <c r="J98" s="27">
        <f t="shared" si="18"/>
        <v>95</v>
      </c>
      <c r="K98" s="2" t="s">
        <v>29</v>
      </c>
      <c r="L98" s="24">
        <v>95</v>
      </c>
    </row>
    <row r="99" spans="1:12" x14ac:dyDescent="0.2">
      <c r="A99" s="3"/>
      <c r="B99" s="3"/>
      <c r="C99" s="3"/>
      <c r="D99" s="3"/>
      <c r="E99" s="3"/>
      <c r="F99" s="3"/>
      <c r="G99" s="13"/>
      <c r="H99" s="3"/>
      <c r="I99" s="22"/>
      <c r="J99" s="27">
        <f t="shared" si="18"/>
        <v>96</v>
      </c>
      <c r="K99" s="1" t="s">
        <v>4</v>
      </c>
      <c r="L99" s="24">
        <v>96</v>
      </c>
    </row>
    <row r="100" spans="1:12" x14ac:dyDescent="0.2">
      <c r="A100" s="28"/>
      <c r="B100" s="28"/>
      <c r="C100" s="28"/>
      <c r="D100" s="28"/>
      <c r="E100" s="28"/>
      <c r="F100" s="28"/>
      <c r="G100" s="13"/>
      <c r="H100" s="28"/>
      <c r="I100" s="22"/>
      <c r="J100" s="27">
        <f t="shared" si="18"/>
        <v>97</v>
      </c>
      <c r="K100" s="3" t="s">
        <v>1</v>
      </c>
      <c r="L100" s="24">
        <v>97</v>
      </c>
    </row>
    <row r="101" spans="1:12" x14ac:dyDescent="0.2">
      <c r="A101" s="59"/>
      <c r="B101" s="59"/>
      <c r="C101" s="59"/>
      <c r="D101" s="59"/>
      <c r="E101" s="59"/>
      <c r="F101" s="59"/>
      <c r="G101" s="13"/>
      <c r="H101" s="59"/>
      <c r="I101" s="22"/>
      <c r="J101" s="27">
        <f t="shared" ref="J101:J164" si="21">L101</f>
        <v>98</v>
      </c>
      <c r="K101" s="3" t="s">
        <v>133</v>
      </c>
      <c r="L101" s="24">
        <v>98</v>
      </c>
    </row>
    <row r="102" spans="1:12" x14ac:dyDescent="0.2">
      <c r="A102" s="3"/>
      <c r="B102" s="3"/>
      <c r="C102" s="3"/>
      <c r="D102" s="3"/>
      <c r="E102" s="3"/>
      <c r="F102" s="3"/>
      <c r="G102" s="13"/>
      <c r="H102" s="3"/>
      <c r="I102" s="22"/>
      <c r="J102" s="27">
        <f t="shared" si="21"/>
        <v>99</v>
      </c>
      <c r="K102" s="1" t="s">
        <v>5</v>
      </c>
      <c r="L102" s="24">
        <v>99</v>
      </c>
    </row>
    <row r="103" spans="1:12" x14ac:dyDescent="0.2">
      <c r="A103" s="3"/>
      <c r="B103" s="3"/>
      <c r="C103" s="3"/>
      <c r="D103" s="3"/>
      <c r="E103" s="3"/>
      <c r="F103" s="3"/>
      <c r="G103" s="13"/>
      <c r="H103" s="3"/>
      <c r="I103" s="22"/>
      <c r="J103" s="27">
        <f t="shared" si="21"/>
        <v>100</v>
      </c>
      <c r="K103" s="1" t="s">
        <v>135</v>
      </c>
      <c r="L103" s="24">
        <v>100</v>
      </c>
    </row>
    <row r="104" spans="1:12" x14ac:dyDescent="0.2">
      <c r="A104" s="3"/>
      <c r="B104" s="3"/>
      <c r="C104" s="3"/>
      <c r="D104" s="3"/>
      <c r="E104" s="3"/>
      <c r="F104" s="3"/>
      <c r="G104" s="13"/>
      <c r="H104" s="3"/>
      <c r="I104" s="22"/>
      <c r="J104" s="27">
        <f t="shared" si="21"/>
        <v>101</v>
      </c>
      <c r="K104" s="1" t="s">
        <v>29</v>
      </c>
      <c r="L104" s="24">
        <v>101</v>
      </c>
    </row>
    <row r="105" spans="1:12" x14ac:dyDescent="0.2">
      <c r="A105" s="3"/>
      <c r="B105" s="3"/>
      <c r="C105" s="3"/>
      <c r="D105" s="3"/>
      <c r="E105" s="3"/>
      <c r="F105" s="3"/>
      <c r="G105" s="13"/>
      <c r="H105" s="3"/>
      <c r="I105" s="22"/>
      <c r="J105" s="27">
        <f t="shared" si="21"/>
        <v>102</v>
      </c>
      <c r="K105" s="2" t="s">
        <v>77</v>
      </c>
      <c r="L105" s="24">
        <v>102</v>
      </c>
    </row>
    <row r="106" spans="1:12" x14ac:dyDescent="0.2">
      <c r="A106" s="3"/>
      <c r="B106" s="3"/>
      <c r="C106" s="3"/>
      <c r="D106" s="3"/>
      <c r="E106" s="3"/>
      <c r="F106" s="3"/>
      <c r="G106" s="13"/>
      <c r="H106" s="3"/>
      <c r="I106" s="22"/>
      <c r="J106" s="27">
        <f t="shared" si="21"/>
        <v>103</v>
      </c>
      <c r="K106" s="1" t="s">
        <v>32</v>
      </c>
      <c r="L106" s="24">
        <v>103</v>
      </c>
    </row>
    <row r="107" spans="1:12" x14ac:dyDescent="0.2">
      <c r="A107" s="3"/>
      <c r="B107" s="3"/>
      <c r="C107" s="3"/>
      <c r="D107" s="3"/>
      <c r="E107" s="3"/>
      <c r="F107" s="3"/>
      <c r="G107" s="13"/>
      <c r="H107" s="3"/>
      <c r="I107" s="22"/>
      <c r="J107" s="27">
        <f t="shared" si="21"/>
        <v>104</v>
      </c>
      <c r="K107" s="1" t="s">
        <v>4</v>
      </c>
      <c r="L107" s="24">
        <v>104</v>
      </c>
    </row>
    <row r="108" spans="1:12" x14ac:dyDescent="0.2">
      <c r="A108" s="3"/>
      <c r="B108" s="3"/>
      <c r="C108" s="3"/>
      <c r="D108" s="3"/>
      <c r="E108" s="3"/>
      <c r="F108" s="3"/>
      <c r="G108" s="13"/>
      <c r="H108" s="3"/>
      <c r="I108" s="22"/>
      <c r="J108" s="27">
        <f t="shared" si="21"/>
        <v>105</v>
      </c>
      <c r="K108" s="1" t="s">
        <v>117</v>
      </c>
      <c r="L108" s="24">
        <v>105</v>
      </c>
    </row>
    <row r="109" spans="1:12" x14ac:dyDescent="0.2">
      <c r="A109" s="3"/>
      <c r="B109" s="3"/>
      <c r="C109" s="3"/>
      <c r="D109" s="3"/>
      <c r="E109" s="3"/>
      <c r="F109" s="3"/>
      <c r="G109" s="13"/>
      <c r="H109" s="3"/>
      <c r="I109" s="22"/>
      <c r="J109" s="27">
        <f t="shared" si="21"/>
        <v>106</v>
      </c>
      <c r="K109" s="1" t="s">
        <v>1</v>
      </c>
      <c r="L109" s="24">
        <v>106</v>
      </c>
    </row>
    <row r="110" spans="1:12" x14ac:dyDescent="0.2">
      <c r="A110" s="3"/>
      <c r="B110" s="3"/>
      <c r="C110" s="3"/>
      <c r="D110" s="3"/>
      <c r="E110" s="3"/>
      <c r="F110" s="3"/>
      <c r="G110" s="13"/>
      <c r="H110" s="3"/>
      <c r="I110" s="22"/>
      <c r="J110" s="27">
        <f t="shared" si="21"/>
        <v>107</v>
      </c>
      <c r="K110" s="1" t="s">
        <v>106</v>
      </c>
      <c r="L110" s="24">
        <v>107</v>
      </c>
    </row>
    <row r="111" spans="1:12" x14ac:dyDescent="0.2">
      <c r="A111" s="3"/>
      <c r="B111" s="3"/>
      <c r="C111" s="3"/>
      <c r="D111" s="3"/>
      <c r="E111" s="3"/>
      <c r="F111" s="3"/>
      <c r="G111" s="13"/>
      <c r="H111" s="3"/>
      <c r="I111" s="22"/>
      <c r="J111" s="27">
        <f t="shared" si="21"/>
        <v>108</v>
      </c>
      <c r="K111" s="2" t="s">
        <v>4</v>
      </c>
      <c r="L111" s="24">
        <v>108</v>
      </c>
    </row>
    <row r="112" spans="1:12" x14ac:dyDescent="0.2">
      <c r="A112" s="3"/>
      <c r="B112" s="3"/>
      <c r="C112" s="3"/>
      <c r="D112" s="3"/>
      <c r="E112" s="3"/>
      <c r="F112" s="3"/>
      <c r="G112" s="13"/>
      <c r="H112" s="3"/>
      <c r="I112" s="22"/>
      <c r="J112" s="27">
        <f t="shared" si="21"/>
        <v>109</v>
      </c>
      <c r="K112" s="1" t="s">
        <v>1</v>
      </c>
      <c r="L112" s="24">
        <v>109</v>
      </c>
    </row>
    <row r="113" spans="1:12" x14ac:dyDescent="0.2">
      <c r="A113" s="3"/>
      <c r="B113" s="3"/>
      <c r="C113" s="3"/>
      <c r="D113" s="3"/>
      <c r="E113" s="3"/>
      <c r="F113" s="3"/>
      <c r="G113" s="13"/>
      <c r="H113" s="3"/>
      <c r="I113" s="22"/>
      <c r="J113" s="27">
        <f t="shared" si="21"/>
        <v>110</v>
      </c>
      <c r="K113" s="1" t="s">
        <v>78</v>
      </c>
      <c r="L113" s="24">
        <v>110</v>
      </c>
    </row>
    <row r="114" spans="1:12" x14ac:dyDescent="0.2">
      <c r="A114" s="3"/>
      <c r="B114" s="3"/>
      <c r="C114" s="3"/>
      <c r="D114" s="3"/>
      <c r="E114" s="3"/>
      <c r="F114" s="3"/>
      <c r="G114" s="13"/>
      <c r="H114" s="3"/>
      <c r="I114" s="22"/>
      <c r="J114" s="27">
        <f t="shared" si="21"/>
        <v>111</v>
      </c>
      <c r="K114" s="1" t="s">
        <v>13</v>
      </c>
      <c r="L114" s="24">
        <v>111</v>
      </c>
    </row>
    <row r="115" spans="1:12" x14ac:dyDescent="0.2">
      <c r="A115" s="3"/>
      <c r="B115" s="3"/>
      <c r="C115" s="3"/>
      <c r="D115" s="3"/>
      <c r="E115" s="3"/>
      <c r="F115" s="3"/>
      <c r="G115" s="13"/>
      <c r="H115" s="3"/>
      <c r="I115" s="22"/>
      <c r="J115" s="27">
        <f t="shared" si="21"/>
        <v>112</v>
      </c>
      <c r="K115" s="1" t="s">
        <v>106</v>
      </c>
      <c r="L115" s="24">
        <v>112</v>
      </c>
    </row>
    <row r="116" spans="1:12" x14ac:dyDescent="0.2">
      <c r="A116" s="3"/>
      <c r="B116" s="3"/>
      <c r="C116" s="3"/>
      <c r="D116" s="3"/>
      <c r="E116" s="3"/>
      <c r="F116" s="3"/>
      <c r="G116" s="13"/>
      <c r="H116" s="3"/>
      <c r="J116" s="27">
        <f t="shared" si="21"/>
        <v>113</v>
      </c>
      <c r="K116" s="2" t="s">
        <v>29</v>
      </c>
      <c r="L116" s="24">
        <v>113</v>
      </c>
    </row>
    <row r="117" spans="1:12" x14ac:dyDescent="0.2">
      <c r="A117" s="3"/>
      <c r="B117" s="3"/>
      <c r="C117" s="3"/>
      <c r="D117" s="3"/>
      <c r="E117" s="3"/>
      <c r="F117" s="3"/>
      <c r="G117" s="13"/>
      <c r="H117" s="3"/>
      <c r="J117" s="27">
        <f t="shared" si="21"/>
        <v>114</v>
      </c>
      <c r="K117" s="1" t="s">
        <v>28</v>
      </c>
      <c r="L117" s="24">
        <v>114</v>
      </c>
    </row>
    <row r="118" spans="1:12" x14ac:dyDescent="0.2">
      <c r="A118" s="3"/>
      <c r="B118" s="3"/>
      <c r="C118" s="3"/>
      <c r="D118" s="3"/>
      <c r="E118" s="3"/>
      <c r="F118" s="3"/>
      <c r="G118" s="13"/>
      <c r="H118" s="3"/>
      <c r="J118" s="27">
        <f t="shared" si="21"/>
        <v>115</v>
      </c>
      <c r="K118" s="1" t="s">
        <v>4</v>
      </c>
      <c r="L118" s="24">
        <v>115</v>
      </c>
    </row>
    <row r="119" spans="1:12" x14ac:dyDescent="0.2">
      <c r="A119" s="3"/>
      <c r="B119" s="3"/>
      <c r="C119" s="3"/>
      <c r="D119" s="3"/>
      <c r="E119" s="3"/>
      <c r="F119" s="3"/>
      <c r="G119" s="13"/>
      <c r="H119" s="3"/>
      <c r="J119" s="27">
        <f t="shared" si="21"/>
        <v>116</v>
      </c>
      <c r="K119" s="3" t="s">
        <v>64</v>
      </c>
      <c r="L119" s="24">
        <v>116</v>
      </c>
    </row>
    <row r="120" spans="1:12" x14ac:dyDescent="0.2">
      <c r="A120" s="3"/>
      <c r="B120" s="3"/>
      <c r="C120" s="3"/>
      <c r="D120" s="3"/>
      <c r="E120" s="3"/>
      <c r="F120" s="3"/>
      <c r="G120" s="13"/>
      <c r="H120" s="3"/>
      <c r="J120" s="27">
        <f t="shared" si="21"/>
        <v>117</v>
      </c>
      <c r="K120" s="1" t="s">
        <v>66</v>
      </c>
      <c r="L120" s="24">
        <v>117</v>
      </c>
    </row>
    <row r="121" spans="1:12" x14ac:dyDescent="0.2">
      <c r="A121" s="3"/>
      <c r="B121" s="3"/>
      <c r="C121" s="3"/>
      <c r="D121" s="3"/>
      <c r="E121" s="3"/>
      <c r="F121" s="3"/>
      <c r="G121" s="13"/>
      <c r="H121" s="3"/>
      <c r="J121" s="27">
        <f t="shared" si="21"/>
        <v>118</v>
      </c>
      <c r="K121" s="1" t="s">
        <v>4</v>
      </c>
      <c r="L121" s="24">
        <v>118</v>
      </c>
    </row>
    <row r="122" spans="1:12" x14ac:dyDescent="0.2">
      <c r="A122" s="3"/>
      <c r="B122" s="3"/>
      <c r="C122" s="3"/>
      <c r="D122" s="3"/>
      <c r="E122" s="3"/>
      <c r="F122" s="3"/>
      <c r="G122" s="13"/>
      <c r="H122" s="3"/>
      <c r="J122" s="27">
        <f t="shared" si="21"/>
        <v>119</v>
      </c>
      <c r="K122" s="2" t="s">
        <v>1</v>
      </c>
      <c r="L122" s="24">
        <v>119</v>
      </c>
    </row>
    <row r="123" spans="1:12" x14ac:dyDescent="0.2">
      <c r="A123" s="3"/>
      <c r="B123" s="3"/>
      <c r="C123" s="3"/>
      <c r="D123" s="3"/>
      <c r="E123" s="3"/>
      <c r="F123" s="3"/>
      <c r="G123" s="13"/>
      <c r="H123" s="3"/>
      <c r="J123" s="27">
        <f t="shared" si="21"/>
        <v>120</v>
      </c>
      <c r="K123" s="1" t="s">
        <v>13</v>
      </c>
      <c r="L123" s="24">
        <v>120</v>
      </c>
    </row>
    <row r="124" spans="1:12" x14ac:dyDescent="0.2">
      <c r="A124" s="3"/>
      <c r="B124" s="3"/>
      <c r="C124" s="3"/>
      <c r="D124" s="3"/>
      <c r="E124" s="3"/>
      <c r="F124" s="3"/>
      <c r="G124" s="13"/>
      <c r="H124" s="3"/>
      <c r="J124" s="27">
        <f t="shared" si="21"/>
        <v>121</v>
      </c>
      <c r="K124" s="1" t="s">
        <v>29</v>
      </c>
      <c r="L124" s="24">
        <v>121</v>
      </c>
    </row>
    <row r="125" spans="1:12" x14ac:dyDescent="0.2">
      <c r="A125" s="3"/>
      <c r="B125" s="3"/>
      <c r="C125" s="3"/>
      <c r="D125" s="3"/>
      <c r="E125" s="3"/>
      <c r="F125" s="3"/>
      <c r="G125" s="13"/>
      <c r="H125" s="3"/>
      <c r="J125" s="27">
        <f t="shared" si="21"/>
        <v>122</v>
      </c>
      <c r="K125" s="62" t="s">
        <v>252</v>
      </c>
      <c r="L125" s="24">
        <v>122</v>
      </c>
    </row>
    <row r="126" spans="1:12" x14ac:dyDescent="0.2">
      <c r="A126" s="3"/>
      <c r="B126" s="3"/>
      <c r="C126" s="3"/>
      <c r="D126" s="3"/>
      <c r="E126" s="3"/>
      <c r="F126" s="3"/>
      <c r="G126" s="13"/>
      <c r="H126" s="3"/>
      <c r="J126" s="27">
        <f t="shared" si="21"/>
        <v>123</v>
      </c>
      <c r="K126" s="2" t="s">
        <v>4</v>
      </c>
      <c r="L126" s="24">
        <v>123</v>
      </c>
    </row>
    <row r="127" spans="1:12" x14ac:dyDescent="0.2">
      <c r="A127" s="3"/>
      <c r="B127" s="3"/>
      <c r="C127" s="3"/>
      <c r="D127" s="3"/>
      <c r="E127" s="3"/>
      <c r="F127" s="3"/>
      <c r="G127" s="13"/>
      <c r="H127" s="3"/>
      <c r="J127" s="27">
        <f t="shared" si="21"/>
        <v>124</v>
      </c>
      <c r="K127" s="1" t="s">
        <v>6</v>
      </c>
      <c r="L127" s="24">
        <v>124</v>
      </c>
    </row>
    <row r="128" spans="1:12" x14ac:dyDescent="0.2">
      <c r="A128" s="3"/>
      <c r="B128" s="3"/>
      <c r="C128" s="3"/>
      <c r="D128" s="3"/>
      <c r="E128" s="3"/>
      <c r="F128" s="3"/>
      <c r="G128" s="13"/>
      <c r="H128" s="3"/>
      <c r="J128" s="27">
        <f t="shared" si="21"/>
        <v>125</v>
      </c>
      <c r="K128" s="3" t="s">
        <v>70</v>
      </c>
      <c r="L128" s="24">
        <v>125</v>
      </c>
    </row>
    <row r="129" spans="1:12" x14ac:dyDescent="0.2">
      <c r="A129" s="3"/>
      <c r="B129" s="3"/>
      <c r="C129" s="3"/>
      <c r="D129" s="3"/>
      <c r="E129" s="3"/>
      <c r="F129" s="3"/>
      <c r="G129" s="13"/>
      <c r="H129" s="3"/>
      <c r="J129" s="27">
        <f t="shared" si="21"/>
        <v>126</v>
      </c>
      <c r="K129" s="3" t="s">
        <v>76</v>
      </c>
      <c r="L129" s="24">
        <v>126</v>
      </c>
    </row>
    <row r="130" spans="1:12" x14ac:dyDescent="0.2">
      <c r="A130" s="3"/>
      <c r="B130" s="3"/>
      <c r="C130" s="3"/>
      <c r="D130" s="3"/>
      <c r="E130" s="3"/>
      <c r="F130" s="3"/>
      <c r="G130" s="13"/>
      <c r="H130" s="3"/>
      <c r="J130" s="27">
        <f t="shared" si="21"/>
        <v>127</v>
      </c>
      <c r="K130" s="3" t="s">
        <v>97</v>
      </c>
      <c r="L130" s="24">
        <v>127</v>
      </c>
    </row>
    <row r="131" spans="1:12" x14ac:dyDescent="0.2">
      <c r="A131" s="3"/>
      <c r="B131" s="3"/>
      <c r="C131" s="3"/>
      <c r="D131" s="3"/>
      <c r="E131" s="3"/>
      <c r="F131" s="3"/>
      <c r="G131" s="13"/>
      <c r="H131" s="3"/>
      <c r="J131" s="27">
        <f t="shared" si="21"/>
        <v>128</v>
      </c>
      <c r="K131" s="3" t="s">
        <v>73</v>
      </c>
      <c r="L131" s="24">
        <v>128</v>
      </c>
    </row>
    <row r="132" spans="1:12" x14ac:dyDescent="0.2">
      <c r="A132" s="3"/>
      <c r="B132" s="3"/>
      <c r="C132" s="3"/>
      <c r="D132" s="3"/>
      <c r="E132" s="3"/>
      <c r="F132" s="3"/>
      <c r="G132" s="13"/>
      <c r="H132" s="3"/>
      <c r="J132" s="27">
        <f t="shared" si="21"/>
        <v>129</v>
      </c>
      <c r="K132" s="2" t="s">
        <v>30</v>
      </c>
      <c r="L132" s="24">
        <v>129</v>
      </c>
    </row>
    <row r="133" spans="1:12" x14ac:dyDescent="0.2">
      <c r="A133" s="3"/>
      <c r="B133" s="3"/>
      <c r="C133" s="3"/>
      <c r="D133" s="3"/>
      <c r="E133" s="3"/>
      <c r="F133" s="3"/>
      <c r="G133" s="13"/>
      <c r="H133" s="3"/>
      <c r="J133" s="27">
        <f t="shared" si="21"/>
        <v>130</v>
      </c>
      <c r="K133" s="1" t="s">
        <v>31</v>
      </c>
      <c r="L133" s="24">
        <v>130</v>
      </c>
    </row>
    <row r="134" spans="1:12" x14ac:dyDescent="0.2">
      <c r="A134" s="3"/>
      <c r="B134" s="3"/>
      <c r="C134" s="3"/>
      <c r="D134" s="3"/>
      <c r="E134" s="3"/>
      <c r="F134" s="3"/>
      <c r="G134" s="13"/>
      <c r="H134" s="3"/>
      <c r="J134" s="27">
        <f t="shared" si="21"/>
        <v>131</v>
      </c>
      <c r="K134" s="1" t="s">
        <v>96</v>
      </c>
      <c r="L134" s="24">
        <v>131</v>
      </c>
    </row>
    <row r="135" spans="1:12" x14ac:dyDescent="0.2">
      <c r="A135" s="3"/>
      <c r="B135" s="3"/>
      <c r="C135" s="3"/>
      <c r="D135" s="3"/>
      <c r="E135" s="3"/>
      <c r="F135" s="3"/>
      <c r="G135" s="13"/>
      <c r="H135" s="3"/>
      <c r="J135" s="27">
        <f t="shared" si="21"/>
        <v>132</v>
      </c>
      <c r="K135" s="3" t="s">
        <v>83</v>
      </c>
      <c r="L135" s="24">
        <v>132</v>
      </c>
    </row>
    <row r="136" spans="1:12" x14ac:dyDescent="0.2">
      <c r="A136" s="3"/>
      <c r="B136" s="3"/>
      <c r="C136" s="3"/>
      <c r="D136" s="3"/>
      <c r="E136" s="3"/>
      <c r="F136" s="63"/>
      <c r="G136" s="13"/>
      <c r="H136" s="3"/>
      <c r="J136" s="27">
        <f t="shared" si="21"/>
        <v>133</v>
      </c>
      <c r="K136" s="1" t="s">
        <v>36</v>
      </c>
      <c r="L136" s="24">
        <v>133</v>
      </c>
    </row>
    <row r="137" spans="1:12" x14ac:dyDescent="0.2">
      <c r="A137" s="3"/>
      <c r="B137" s="3"/>
      <c r="C137" s="3"/>
      <c r="D137" s="3"/>
      <c r="E137" s="3"/>
      <c r="F137" s="63"/>
      <c r="G137" s="13"/>
      <c r="H137" s="3"/>
      <c r="J137" s="27">
        <f t="shared" si="21"/>
        <v>134</v>
      </c>
      <c r="K137" s="1" t="s">
        <v>45</v>
      </c>
      <c r="L137" s="24">
        <v>134</v>
      </c>
    </row>
    <row r="138" spans="1:12" x14ac:dyDescent="0.2">
      <c r="A138" s="3"/>
      <c r="B138" s="3"/>
      <c r="C138" s="3"/>
      <c r="D138" s="3"/>
      <c r="E138" s="3"/>
      <c r="F138" s="3"/>
      <c r="G138" s="13"/>
      <c r="H138" s="3"/>
      <c r="J138" s="27">
        <f t="shared" si="21"/>
        <v>135</v>
      </c>
      <c r="K138" s="1" t="s">
        <v>2</v>
      </c>
      <c r="L138" s="24">
        <v>135</v>
      </c>
    </row>
    <row r="139" spans="1:12" x14ac:dyDescent="0.2">
      <c r="A139" s="3"/>
      <c r="B139" s="3"/>
      <c r="C139" s="3"/>
      <c r="D139" s="3"/>
      <c r="E139" s="3"/>
      <c r="F139" s="3"/>
      <c r="G139" s="13"/>
      <c r="H139" s="3"/>
      <c r="J139" s="27">
        <f t="shared" si="21"/>
        <v>136</v>
      </c>
      <c r="K139" s="3" t="s">
        <v>46</v>
      </c>
      <c r="L139" s="24">
        <v>136</v>
      </c>
    </row>
    <row r="140" spans="1:12" x14ac:dyDescent="0.2">
      <c r="A140" s="3"/>
      <c r="B140" s="3"/>
      <c r="C140" s="3"/>
      <c r="D140" s="3"/>
      <c r="E140" s="3"/>
      <c r="F140" s="3"/>
      <c r="G140" s="13"/>
      <c r="H140" s="3"/>
      <c r="J140" s="27">
        <f t="shared" si="21"/>
        <v>137</v>
      </c>
      <c r="K140" s="3" t="s">
        <v>56</v>
      </c>
      <c r="L140" s="24">
        <v>137</v>
      </c>
    </row>
    <row r="141" spans="1:12" x14ac:dyDescent="0.2">
      <c r="A141" s="3"/>
      <c r="B141" s="3"/>
      <c r="C141" s="3"/>
      <c r="D141" s="3"/>
      <c r="E141" s="3"/>
      <c r="F141" s="3"/>
      <c r="G141" s="13"/>
      <c r="H141" s="3"/>
      <c r="J141" s="27">
        <f t="shared" si="21"/>
        <v>138</v>
      </c>
      <c r="K141" s="62" t="s">
        <v>254</v>
      </c>
      <c r="L141" s="24">
        <v>138</v>
      </c>
    </row>
    <row r="142" spans="1:12" x14ac:dyDescent="0.2">
      <c r="A142" s="3"/>
      <c r="B142" s="3"/>
      <c r="C142" s="3"/>
      <c r="D142" s="3"/>
      <c r="E142" s="3"/>
      <c r="F142" s="3"/>
      <c r="G142" s="13"/>
      <c r="H142" s="3"/>
      <c r="J142" s="27">
        <f t="shared" si="21"/>
        <v>139</v>
      </c>
      <c r="K142" s="3" t="s">
        <v>0</v>
      </c>
      <c r="L142" s="24">
        <v>139</v>
      </c>
    </row>
    <row r="143" spans="1:12" x14ac:dyDescent="0.2">
      <c r="A143" s="3"/>
      <c r="B143" s="3"/>
      <c r="C143" s="3"/>
      <c r="D143" s="3"/>
      <c r="E143" s="3"/>
      <c r="F143" s="3"/>
      <c r="G143" s="13"/>
      <c r="H143" s="3"/>
      <c r="J143" s="27">
        <f t="shared" si="21"/>
        <v>140</v>
      </c>
      <c r="K143" s="62" t="s">
        <v>250</v>
      </c>
      <c r="L143" s="24">
        <v>140</v>
      </c>
    </row>
    <row r="144" spans="1:12" x14ac:dyDescent="0.2">
      <c r="A144" s="3"/>
      <c r="B144" s="3"/>
      <c r="C144" s="3"/>
      <c r="D144" s="3"/>
      <c r="E144" s="3"/>
      <c r="F144" s="3"/>
      <c r="G144" s="13"/>
      <c r="H144" s="3"/>
      <c r="J144" s="27">
        <f t="shared" si="21"/>
        <v>141</v>
      </c>
      <c r="K144" s="3" t="s">
        <v>3</v>
      </c>
      <c r="L144" s="24">
        <v>141</v>
      </c>
    </row>
    <row r="145" spans="1:12" x14ac:dyDescent="0.2">
      <c r="A145" s="3"/>
      <c r="B145" s="3"/>
      <c r="C145" s="3"/>
      <c r="D145" s="3"/>
      <c r="E145" s="3"/>
      <c r="F145" s="3"/>
      <c r="G145" s="13"/>
      <c r="H145" s="3"/>
      <c r="J145" s="27">
        <f t="shared" si="21"/>
        <v>142</v>
      </c>
      <c r="K145" s="2" t="s">
        <v>84</v>
      </c>
      <c r="L145" s="24">
        <v>142</v>
      </c>
    </row>
    <row r="146" spans="1:12" x14ac:dyDescent="0.2">
      <c r="A146" s="3"/>
      <c r="B146" s="3"/>
      <c r="C146" s="3"/>
      <c r="D146" s="3"/>
      <c r="E146" s="3"/>
      <c r="F146" s="3"/>
      <c r="G146" s="13"/>
      <c r="H146" s="3"/>
      <c r="J146" s="27">
        <f t="shared" si="21"/>
        <v>143</v>
      </c>
      <c r="K146" s="3" t="s">
        <v>16</v>
      </c>
      <c r="L146" s="24">
        <v>143</v>
      </c>
    </row>
    <row r="147" spans="1:12" x14ac:dyDescent="0.2">
      <c r="A147" s="3"/>
      <c r="B147" s="3"/>
      <c r="C147" s="3"/>
      <c r="D147" s="3"/>
      <c r="E147" s="3"/>
      <c r="F147" s="3"/>
      <c r="G147" s="13"/>
      <c r="H147" s="3"/>
      <c r="J147" s="27">
        <f t="shared" si="21"/>
        <v>144</v>
      </c>
      <c r="K147" s="2" t="s">
        <v>21</v>
      </c>
      <c r="L147" s="24">
        <v>144</v>
      </c>
    </row>
    <row r="148" spans="1:12" x14ac:dyDescent="0.2">
      <c r="A148" s="3"/>
      <c r="B148" s="3"/>
      <c r="C148" s="3"/>
      <c r="D148" s="3"/>
      <c r="E148" s="3"/>
      <c r="F148" s="3"/>
      <c r="G148" s="13"/>
      <c r="H148" s="3"/>
      <c r="J148" s="27">
        <f t="shared" si="21"/>
        <v>145</v>
      </c>
      <c r="K148" s="3" t="s">
        <v>85</v>
      </c>
      <c r="L148" s="24">
        <v>145</v>
      </c>
    </row>
    <row r="149" spans="1:12" x14ac:dyDescent="0.2">
      <c r="A149" s="3"/>
      <c r="B149" s="3"/>
      <c r="C149" s="3"/>
      <c r="D149" s="3"/>
      <c r="E149" s="3"/>
      <c r="F149" s="3"/>
      <c r="G149" s="13"/>
      <c r="H149" s="3"/>
      <c r="J149" s="27">
        <f t="shared" si="21"/>
        <v>146</v>
      </c>
      <c r="K149" s="3" t="s">
        <v>86</v>
      </c>
      <c r="L149" s="24">
        <v>146</v>
      </c>
    </row>
    <row r="150" spans="1:12" x14ac:dyDescent="0.2">
      <c r="A150" s="3"/>
      <c r="B150" s="3"/>
      <c r="C150" s="3"/>
      <c r="D150" s="3"/>
      <c r="E150" s="3"/>
      <c r="F150" s="3"/>
      <c r="G150" s="13"/>
      <c r="H150" s="3"/>
      <c r="J150" s="27">
        <f t="shared" si="21"/>
        <v>147</v>
      </c>
      <c r="K150" s="3" t="s">
        <v>136</v>
      </c>
      <c r="L150" s="24">
        <v>147</v>
      </c>
    </row>
    <row r="151" spans="1:12" x14ac:dyDescent="0.2">
      <c r="A151" s="3"/>
      <c r="B151" s="3"/>
      <c r="C151" s="3"/>
      <c r="D151" s="3"/>
      <c r="E151" s="3"/>
      <c r="F151" s="3"/>
      <c r="G151" s="13"/>
      <c r="H151" s="3"/>
      <c r="J151" s="27">
        <f t="shared" si="21"/>
        <v>148</v>
      </c>
      <c r="K151" s="3" t="s">
        <v>119</v>
      </c>
      <c r="L151" s="24">
        <v>148</v>
      </c>
    </row>
    <row r="152" spans="1:12" x14ac:dyDescent="0.2">
      <c r="A152" s="3"/>
      <c r="B152" s="3"/>
      <c r="C152" s="3"/>
      <c r="D152" s="3"/>
      <c r="E152" s="3"/>
      <c r="F152" s="3"/>
      <c r="G152" s="13"/>
      <c r="H152" s="3"/>
      <c r="J152" s="27">
        <f t="shared" si="21"/>
        <v>149</v>
      </c>
      <c r="K152" s="2" t="s">
        <v>4</v>
      </c>
      <c r="L152" s="24">
        <v>149</v>
      </c>
    </row>
    <row r="153" spans="1:12" x14ac:dyDescent="0.2">
      <c r="A153" s="3"/>
      <c r="B153" s="3"/>
      <c r="C153" s="3"/>
      <c r="D153" s="3"/>
      <c r="E153" s="3"/>
      <c r="F153" s="3"/>
      <c r="G153" s="13"/>
      <c r="H153" s="3"/>
      <c r="J153" s="27">
        <f t="shared" si="21"/>
        <v>150</v>
      </c>
      <c r="K153" s="3" t="s">
        <v>120</v>
      </c>
      <c r="L153" s="24">
        <v>150</v>
      </c>
    </row>
    <row r="154" spans="1:12" x14ac:dyDescent="0.2">
      <c r="A154" s="3"/>
      <c r="B154" s="3"/>
      <c r="C154" s="3"/>
      <c r="D154" s="3"/>
      <c r="E154" s="3"/>
      <c r="F154" s="3"/>
      <c r="G154" s="13"/>
      <c r="H154" s="3"/>
      <c r="J154" s="27">
        <f t="shared" si="21"/>
        <v>151</v>
      </c>
      <c r="K154" s="2" t="s">
        <v>24</v>
      </c>
      <c r="L154" s="24">
        <v>151</v>
      </c>
    </row>
    <row r="155" spans="1:12" x14ac:dyDescent="0.2">
      <c r="A155" s="3"/>
      <c r="B155" s="3"/>
      <c r="C155" s="3"/>
      <c r="D155" s="3"/>
      <c r="E155" s="3"/>
      <c r="F155" s="3"/>
      <c r="G155" s="13"/>
      <c r="H155" s="3"/>
      <c r="J155" s="27">
        <f t="shared" si="21"/>
        <v>152</v>
      </c>
      <c r="K155" s="3" t="s">
        <v>123</v>
      </c>
      <c r="L155" s="24">
        <v>152</v>
      </c>
    </row>
    <row r="156" spans="1:12" x14ac:dyDescent="0.2">
      <c r="A156" s="3"/>
      <c r="B156" s="3"/>
      <c r="C156" s="3"/>
      <c r="D156" s="3"/>
      <c r="E156" s="3"/>
      <c r="F156" s="3"/>
      <c r="G156" s="13"/>
      <c r="H156" s="3"/>
      <c r="J156" s="27">
        <f t="shared" si="21"/>
        <v>153</v>
      </c>
      <c r="K156" s="1" t="s">
        <v>121</v>
      </c>
      <c r="L156" s="24">
        <v>153</v>
      </c>
    </row>
    <row r="157" spans="1:12" x14ac:dyDescent="0.2">
      <c r="A157" s="3"/>
      <c r="B157" s="3"/>
      <c r="C157" s="3"/>
      <c r="D157" s="3"/>
      <c r="E157" s="3"/>
      <c r="F157" s="3"/>
      <c r="G157" s="13"/>
      <c r="H157" s="3"/>
      <c r="J157" s="27">
        <f t="shared" si="21"/>
        <v>154</v>
      </c>
      <c r="K157" s="1" t="s">
        <v>122</v>
      </c>
      <c r="L157" s="24">
        <v>154</v>
      </c>
    </row>
    <row r="158" spans="1:12" x14ac:dyDescent="0.2">
      <c r="A158" s="3"/>
      <c r="B158" s="3"/>
      <c r="C158" s="3"/>
      <c r="D158" s="3"/>
      <c r="E158" s="3"/>
      <c r="F158" s="3"/>
      <c r="G158" s="13"/>
      <c r="H158" s="3"/>
      <c r="J158" s="27">
        <f t="shared" si="21"/>
        <v>155</v>
      </c>
      <c r="K158" s="1" t="s">
        <v>107</v>
      </c>
      <c r="L158" s="24">
        <v>155</v>
      </c>
    </row>
    <row r="159" spans="1:12" x14ac:dyDescent="0.2">
      <c r="A159" s="3"/>
      <c r="B159" s="3"/>
      <c r="C159" s="3"/>
      <c r="D159" s="3"/>
      <c r="E159" s="3"/>
      <c r="F159" s="3"/>
      <c r="G159" s="13"/>
      <c r="H159" s="3"/>
      <c r="J159" s="27">
        <f t="shared" si="21"/>
        <v>156</v>
      </c>
      <c r="K159" s="3" t="s">
        <v>108</v>
      </c>
      <c r="L159" s="24">
        <v>156</v>
      </c>
    </row>
    <row r="160" spans="1:12" x14ac:dyDescent="0.2">
      <c r="A160" s="3"/>
      <c r="B160" s="3"/>
      <c r="C160" s="3"/>
      <c r="D160" s="3"/>
      <c r="E160" s="3"/>
      <c r="F160" s="3"/>
      <c r="G160" s="13"/>
      <c r="H160" s="3"/>
      <c r="J160" s="27">
        <f t="shared" si="21"/>
        <v>157</v>
      </c>
      <c r="K160" s="3" t="s">
        <v>102</v>
      </c>
      <c r="L160" s="24">
        <v>157</v>
      </c>
    </row>
    <row r="161" spans="1:12" x14ac:dyDescent="0.2">
      <c r="A161" s="3"/>
      <c r="B161" s="3"/>
      <c r="C161" s="3"/>
      <c r="D161" s="3"/>
      <c r="E161" s="3"/>
      <c r="F161" s="3"/>
      <c r="G161" s="13"/>
      <c r="H161" s="3"/>
      <c r="J161" s="27">
        <f t="shared" si="21"/>
        <v>158</v>
      </c>
      <c r="K161" s="2" t="s">
        <v>57</v>
      </c>
      <c r="L161" s="24">
        <v>158</v>
      </c>
    </row>
    <row r="162" spans="1:12" x14ac:dyDescent="0.2">
      <c r="A162" s="3"/>
      <c r="B162" s="3"/>
      <c r="C162" s="3"/>
      <c r="D162" s="3"/>
      <c r="E162" s="3"/>
      <c r="F162" s="3"/>
      <c r="G162" s="13"/>
      <c r="H162" s="3"/>
      <c r="J162" s="27">
        <f t="shared" si="21"/>
        <v>159</v>
      </c>
      <c r="K162" s="3" t="s">
        <v>149</v>
      </c>
      <c r="L162" s="24">
        <v>159</v>
      </c>
    </row>
    <row r="163" spans="1:12" x14ac:dyDescent="0.2">
      <c r="A163" s="3"/>
      <c r="B163" s="3"/>
      <c r="C163" s="3"/>
      <c r="D163" s="3"/>
      <c r="E163" s="3"/>
      <c r="F163" s="3"/>
      <c r="G163" s="13"/>
      <c r="H163" s="3"/>
      <c r="J163" s="27">
        <f t="shared" si="21"/>
        <v>160</v>
      </c>
      <c r="K163" s="1" t="s">
        <v>124</v>
      </c>
      <c r="L163" s="24">
        <v>160</v>
      </c>
    </row>
    <row r="164" spans="1:12" x14ac:dyDescent="0.2">
      <c r="A164" s="3"/>
      <c r="B164" s="3"/>
      <c r="C164" s="3"/>
      <c r="D164" s="3"/>
      <c r="E164" s="3"/>
      <c r="F164" s="3"/>
      <c r="G164" s="13"/>
      <c r="H164" s="3"/>
      <c r="J164" s="27">
        <f t="shared" si="21"/>
        <v>161</v>
      </c>
      <c r="K164" s="1" t="s">
        <v>134</v>
      </c>
      <c r="L164" s="24">
        <v>161</v>
      </c>
    </row>
    <row r="165" spans="1:12" x14ac:dyDescent="0.2">
      <c r="A165" s="3"/>
      <c r="B165" s="3"/>
      <c r="C165" s="3"/>
      <c r="D165" s="3"/>
      <c r="E165" s="3"/>
      <c r="F165" s="3"/>
      <c r="G165" s="13"/>
      <c r="H165" s="3"/>
      <c r="J165" s="27">
        <f t="shared" ref="J165:J224" si="22">L165</f>
        <v>162</v>
      </c>
      <c r="K165" s="3" t="s">
        <v>25</v>
      </c>
      <c r="L165" s="24">
        <v>162</v>
      </c>
    </row>
    <row r="166" spans="1:12" x14ac:dyDescent="0.2">
      <c r="A166" s="3"/>
      <c r="B166" s="3"/>
      <c r="C166" s="3"/>
      <c r="D166" s="3"/>
      <c r="E166" s="3"/>
      <c r="F166" s="3"/>
      <c r="G166" s="13"/>
      <c r="H166" s="3"/>
      <c r="J166" s="27">
        <f t="shared" si="22"/>
        <v>163</v>
      </c>
      <c r="K166" s="2" t="s">
        <v>88</v>
      </c>
      <c r="L166" s="24">
        <v>163</v>
      </c>
    </row>
    <row r="167" spans="1:12" x14ac:dyDescent="0.2">
      <c r="A167" s="3"/>
      <c r="B167" s="3"/>
      <c r="C167" s="3"/>
      <c r="D167" s="3"/>
      <c r="E167" s="3"/>
      <c r="F167" s="3"/>
      <c r="G167" s="13"/>
      <c r="H167" s="3"/>
      <c r="J167" s="27">
        <f t="shared" si="22"/>
        <v>164</v>
      </c>
      <c r="K167" s="65" t="s">
        <v>19</v>
      </c>
      <c r="L167" s="66">
        <v>164</v>
      </c>
    </row>
    <row r="168" spans="1:12" x14ac:dyDescent="0.2">
      <c r="A168" s="3"/>
      <c r="B168" s="3"/>
      <c r="C168" s="3"/>
      <c r="D168" s="3"/>
      <c r="E168" s="3"/>
      <c r="F168" s="3"/>
      <c r="G168" s="13"/>
      <c r="H168" s="3"/>
      <c r="J168" s="27">
        <f t="shared" si="22"/>
        <v>165</v>
      </c>
      <c r="K168" s="3" t="s">
        <v>16</v>
      </c>
      <c r="L168" s="24">
        <v>165</v>
      </c>
    </row>
    <row r="169" spans="1:12" x14ac:dyDescent="0.2">
      <c r="A169" s="3"/>
      <c r="B169" s="3"/>
      <c r="C169" s="3"/>
      <c r="D169" s="3"/>
      <c r="E169" s="3"/>
      <c r="F169" s="3"/>
      <c r="G169" s="13"/>
      <c r="H169" s="3"/>
      <c r="J169" s="27">
        <f t="shared" si="22"/>
        <v>166</v>
      </c>
      <c r="K169" s="3" t="s">
        <v>125</v>
      </c>
      <c r="L169" s="24">
        <v>166</v>
      </c>
    </row>
    <row r="170" spans="1:12" x14ac:dyDescent="0.2">
      <c r="A170" s="3"/>
      <c r="B170" s="3"/>
      <c r="C170" s="3"/>
      <c r="D170" s="3"/>
      <c r="E170" s="3"/>
      <c r="F170" s="3"/>
      <c r="G170" s="13"/>
      <c r="H170" s="3"/>
      <c r="J170" s="27">
        <f t="shared" si="22"/>
        <v>167</v>
      </c>
      <c r="K170" s="2" t="s">
        <v>171</v>
      </c>
      <c r="L170" s="24">
        <v>167</v>
      </c>
    </row>
    <row r="171" spans="1:12" x14ac:dyDescent="0.2">
      <c r="A171" s="3"/>
      <c r="B171" s="3"/>
      <c r="C171" s="3"/>
      <c r="D171" s="3"/>
      <c r="E171" s="3"/>
      <c r="F171" s="3"/>
      <c r="G171" s="13"/>
      <c r="H171" s="3"/>
      <c r="J171" s="27">
        <f t="shared" si="22"/>
        <v>168</v>
      </c>
      <c r="K171" s="1" t="s">
        <v>172</v>
      </c>
      <c r="L171" s="24">
        <v>168</v>
      </c>
    </row>
    <row r="172" spans="1:12" x14ac:dyDescent="0.2">
      <c r="A172" s="3"/>
      <c r="B172" s="3"/>
      <c r="C172" s="3"/>
      <c r="D172" s="3"/>
      <c r="E172" s="3"/>
      <c r="F172" s="3"/>
      <c r="G172" s="13"/>
      <c r="H172" s="3"/>
      <c r="J172" s="27">
        <f t="shared" si="22"/>
        <v>169</v>
      </c>
      <c r="K172" s="28" t="s">
        <v>103</v>
      </c>
      <c r="L172" s="29">
        <v>169</v>
      </c>
    </row>
    <row r="173" spans="1:12" x14ac:dyDescent="0.2">
      <c r="A173" s="3"/>
      <c r="B173" s="3"/>
      <c r="C173" s="3"/>
      <c r="D173" s="3"/>
      <c r="E173" s="3"/>
      <c r="F173" s="3"/>
      <c r="G173" s="13"/>
      <c r="H173" s="3"/>
      <c r="J173" s="27">
        <f t="shared" si="22"/>
        <v>170</v>
      </c>
      <c r="K173" s="1" t="s">
        <v>89</v>
      </c>
      <c r="L173" s="24">
        <v>170</v>
      </c>
    </row>
    <row r="174" spans="1:12" x14ac:dyDescent="0.2">
      <c r="A174" s="3"/>
      <c r="B174" s="3"/>
      <c r="C174" s="3"/>
      <c r="D174" s="3"/>
      <c r="E174" s="3"/>
      <c r="F174" s="3"/>
      <c r="G174" s="13"/>
      <c r="H174" s="3"/>
      <c r="J174" s="27">
        <f t="shared" si="22"/>
        <v>171</v>
      </c>
      <c r="K174" s="3" t="s">
        <v>90</v>
      </c>
      <c r="L174" s="24">
        <v>171</v>
      </c>
    </row>
    <row r="175" spans="1:12" x14ac:dyDescent="0.2">
      <c r="A175" s="3"/>
      <c r="B175" s="3"/>
      <c r="C175" s="3"/>
      <c r="D175" s="3"/>
      <c r="E175" s="3"/>
      <c r="F175" s="3"/>
      <c r="G175" s="13"/>
      <c r="H175" s="3"/>
      <c r="J175" s="27">
        <f t="shared" si="22"/>
        <v>172</v>
      </c>
      <c r="K175" s="1" t="s">
        <v>4</v>
      </c>
      <c r="L175" s="24">
        <v>172</v>
      </c>
    </row>
    <row r="176" spans="1:12" x14ac:dyDescent="0.2">
      <c r="A176" s="3"/>
      <c r="B176" s="3"/>
      <c r="C176" s="3"/>
      <c r="D176" s="3"/>
      <c r="E176" s="3"/>
      <c r="F176" s="3"/>
      <c r="G176" s="13"/>
      <c r="H176" s="3"/>
      <c r="J176" s="27">
        <f t="shared" si="22"/>
        <v>173</v>
      </c>
      <c r="K176" s="3" t="s">
        <v>59</v>
      </c>
      <c r="L176" s="24">
        <v>173</v>
      </c>
    </row>
    <row r="177" spans="1:12" x14ac:dyDescent="0.2">
      <c r="A177" s="3"/>
      <c r="B177" s="3"/>
      <c r="C177" s="3"/>
      <c r="D177" s="3"/>
      <c r="E177" s="3"/>
      <c r="F177" s="3"/>
      <c r="G177" s="13"/>
      <c r="H177" s="3"/>
      <c r="J177" s="27">
        <f t="shared" si="22"/>
        <v>174</v>
      </c>
      <c r="K177" s="2" t="s">
        <v>91</v>
      </c>
      <c r="L177" s="24">
        <v>174</v>
      </c>
    </row>
    <row r="178" spans="1:12" x14ac:dyDescent="0.2">
      <c r="A178" s="3"/>
      <c r="B178" s="3"/>
      <c r="C178" s="3"/>
      <c r="D178" s="3"/>
      <c r="E178" s="3"/>
      <c r="F178" s="3"/>
      <c r="G178" s="13"/>
      <c r="H178" s="3"/>
      <c r="J178" s="27">
        <f t="shared" si="22"/>
        <v>175</v>
      </c>
      <c r="K178" s="3" t="s">
        <v>92</v>
      </c>
      <c r="L178" s="24">
        <v>175</v>
      </c>
    </row>
    <row r="179" spans="1:12" x14ac:dyDescent="0.2">
      <c r="A179" s="3"/>
      <c r="B179" s="3"/>
      <c r="C179" s="3"/>
      <c r="D179" s="3"/>
      <c r="E179" s="3"/>
      <c r="F179" s="3"/>
      <c r="G179" s="13"/>
      <c r="H179" s="3"/>
      <c r="J179" s="27">
        <f t="shared" si="22"/>
        <v>176</v>
      </c>
      <c r="K179" s="7" t="s">
        <v>29</v>
      </c>
      <c r="L179" s="24">
        <v>176</v>
      </c>
    </row>
    <row r="180" spans="1:12" x14ac:dyDescent="0.2">
      <c r="A180" s="3"/>
      <c r="B180" s="3"/>
      <c r="C180" s="3"/>
      <c r="D180" s="3"/>
      <c r="E180" s="3"/>
      <c r="F180" s="3"/>
      <c r="G180" s="13"/>
      <c r="H180" s="3"/>
      <c r="J180" s="27">
        <f t="shared" si="22"/>
        <v>177</v>
      </c>
      <c r="K180" s="1" t="s">
        <v>150</v>
      </c>
      <c r="L180" s="24">
        <v>177</v>
      </c>
    </row>
    <row r="181" spans="1:12" x14ac:dyDescent="0.2">
      <c r="A181" s="3"/>
      <c r="B181" s="3"/>
      <c r="C181" s="3"/>
      <c r="D181" s="3"/>
      <c r="E181" s="3"/>
      <c r="F181" s="3"/>
      <c r="G181" s="13"/>
      <c r="H181" s="3"/>
      <c r="J181" s="27">
        <f t="shared" si="22"/>
        <v>178</v>
      </c>
      <c r="K181" s="1" t="s">
        <v>1</v>
      </c>
      <c r="L181" s="24">
        <v>178</v>
      </c>
    </row>
    <row r="182" spans="1:12" x14ac:dyDescent="0.2">
      <c r="A182" s="3"/>
      <c r="B182" s="3"/>
      <c r="C182" s="3"/>
      <c r="D182" s="3"/>
      <c r="E182" s="3"/>
      <c r="F182" s="3"/>
      <c r="G182" s="13"/>
      <c r="H182" s="3"/>
      <c r="J182" s="27">
        <f t="shared" si="22"/>
        <v>179</v>
      </c>
      <c r="K182" s="1" t="s">
        <v>47</v>
      </c>
      <c r="L182" s="24">
        <v>179</v>
      </c>
    </row>
    <row r="183" spans="1:12" x14ac:dyDescent="0.2">
      <c r="A183" s="3"/>
      <c r="B183" s="3"/>
      <c r="C183" s="3"/>
      <c r="D183" s="3"/>
      <c r="E183" s="3"/>
      <c r="F183" s="3"/>
      <c r="G183" s="13"/>
      <c r="H183" s="3"/>
      <c r="J183" s="27">
        <f t="shared" si="22"/>
        <v>180</v>
      </c>
      <c r="K183" s="2" t="s">
        <v>104</v>
      </c>
      <c r="L183" s="24">
        <v>180</v>
      </c>
    </row>
    <row r="184" spans="1:12" x14ac:dyDescent="0.2">
      <c r="A184" s="3"/>
      <c r="B184" s="3"/>
      <c r="C184" s="3"/>
      <c r="D184" s="3"/>
      <c r="E184" s="3"/>
      <c r="F184" s="3"/>
      <c r="G184" s="13"/>
      <c r="H184" s="3"/>
      <c r="J184" s="27">
        <f t="shared" si="22"/>
        <v>181</v>
      </c>
      <c r="K184" s="1" t="s">
        <v>95</v>
      </c>
      <c r="L184" s="24">
        <v>181</v>
      </c>
    </row>
    <row r="185" spans="1:12" x14ac:dyDescent="0.2">
      <c r="A185" s="3"/>
      <c r="B185" s="3"/>
      <c r="C185" s="3"/>
      <c r="D185" s="3"/>
      <c r="E185" s="3"/>
      <c r="F185" s="3"/>
      <c r="G185" s="13"/>
      <c r="H185" s="3"/>
      <c r="J185" s="27">
        <f t="shared" si="22"/>
        <v>182</v>
      </c>
      <c r="K185" s="1" t="s">
        <v>175</v>
      </c>
      <c r="L185" s="24">
        <v>182</v>
      </c>
    </row>
    <row r="186" spans="1:12" x14ac:dyDescent="0.2">
      <c r="A186" s="3"/>
      <c r="B186" s="3"/>
      <c r="C186" s="3"/>
      <c r="D186" s="3"/>
      <c r="E186" s="3"/>
      <c r="F186" s="3"/>
      <c r="G186" s="13"/>
      <c r="H186" s="3"/>
      <c r="J186" s="27">
        <f t="shared" si="22"/>
        <v>183</v>
      </c>
      <c r="K186" s="1" t="s">
        <v>13</v>
      </c>
      <c r="L186" s="24">
        <v>183</v>
      </c>
    </row>
    <row r="187" spans="1:12" x14ac:dyDescent="0.2">
      <c r="A187" s="64"/>
      <c r="B187" s="64"/>
      <c r="C187" s="64"/>
      <c r="D187" s="64"/>
      <c r="E187" s="64"/>
      <c r="F187" s="64"/>
      <c r="G187" s="13"/>
      <c r="H187" s="64"/>
      <c r="J187" s="27">
        <f t="shared" si="22"/>
        <v>184</v>
      </c>
      <c r="K187" s="1" t="s">
        <v>105</v>
      </c>
      <c r="L187" s="24">
        <v>184</v>
      </c>
    </row>
    <row r="188" spans="1:12" x14ac:dyDescent="0.2">
      <c r="A188" s="3"/>
      <c r="B188" s="3"/>
      <c r="C188" s="3"/>
      <c r="D188" s="3"/>
      <c r="E188" s="3"/>
      <c r="F188" s="3"/>
      <c r="G188" s="13"/>
      <c r="H188" s="3"/>
      <c r="J188" s="27">
        <f t="shared" si="22"/>
        <v>185</v>
      </c>
      <c r="K188" s="1" t="s">
        <v>29</v>
      </c>
      <c r="L188" s="24">
        <v>185</v>
      </c>
    </row>
    <row r="189" spans="1:12" x14ac:dyDescent="0.2">
      <c r="A189" s="3"/>
      <c r="B189" s="3"/>
      <c r="C189" s="3"/>
      <c r="D189" s="3"/>
      <c r="E189" s="3"/>
      <c r="F189" s="3"/>
      <c r="G189" s="13"/>
      <c r="H189" s="3"/>
      <c r="J189" s="27">
        <f t="shared" si="22"/>
        <v>186</v>
      </c>
      <c r="K189" s="1" t="s">
        <v>150</v>
      </c>
      <c r="L189" s="24">
        <v>186</v>
      </c>
    </row>
    <row r="190" spans="1:12" x14ac:dyDescent="0.2">
      <c r="A190" s="3"/>
      <c r="B190" s="3"/>
      <c r="C190" s="3"/>
      <c r="D190" s="3"/>
      <c r="E190" s="3"/>
      <c r="F190" s="3"/>
      <c r="G190" s="13"/>
      <c r="H190" s="3"/>
      <c r="J190" s="27">
        <f t="shared" si="22"/>
        <v>187</v>
      </c>
      <c r="K190" s="1" t="s">
        <v>1</v>
      </c>
      <c r="L190" s="24">
        <v>187</v>
      </c>
    </row>
    <row r="191" spans="1:12" x14ac:dyDescent="0.2">
      <c r="A191" s="3"/>
      <c r="B191" s="3"/>
      <c r="C191" s="3"/>
      <c r="D191" s="3"/>
      <c r="E191" s="3"/>
      <c r="F191" s="3"/>
      <c r="G191" s="13"/>
      <c r="H191" s="3"/>
      <c r="J191" s="27">
        <f t="shared" si="22"/>
        <v>188</v>
      </c>
      <c r="K191" s="1" t="s">
        <v>47</v>
      </c>
      <c r="L191" s="24">
        <v>188</v>
      </c>
    </row>
    <row r="192" spans="1:12" x14ac:dyDescent="0.2">
      <c r="A192" s="28"/>
      <c r="B192" s="28"/>
      <c r="C192" s="28"/>
      <c r="D192" s="28"/>
      <c r="E192" s="28"/>
      <c r="F192" s="28"/>
      <c r="G192" s="13"/>
      <c r="H192" s="28"/>
      <c r="J192" s="27">
        <f t="shared" si="22"/>
        <v>189</v>
      </c>
      <c r="K192" s="2" t="s">
        <v>104</v>
      </c>
      <c r="L192" s="24">
        <v>189</v>
      </c>
    </row>
    <row r="193" spans="1:12" x14ac:dyDescent="0.2">
      <c r="A193" s="3"/>
      <c r="B193" s="3"/>
      <c r="C193" s="3"/>
      <c r="D193" s="3"/>
      <c r="E193" s="3"/>
      <c r="F193" s="3"/>
      <c r="G193" s="13"/>
      <c r="H193" s="3"/>
      <c r="J193" s="27">
        <f t="shared" si="22"/>
        <v>190</v>
      </c>
      <c r="K193" s="1" t="s">
        <v>95</v>
      </c>
      <c r="L193" s="24">
        <v>190</v>
      </c>
    </row>
    <row r="194" spans="1:12" x14ac:dyDescent="0.2">
      <c r="A194" s="3"/>
      <c r="B194" s="3"/>
      <c r="C194" s="3"/>
      <c r="D194" s="3"/>
      <c r="E194" s="3"/>
      <c r="F194" s="3"/>
      <c r="G194" s="13"/>
      <c r="H194" s="3"/>
      <c r="J194" s="27">
        <f t="shared" si="22"/>
        <v>191</v>
      </c>
      <c r="K194" s="1" t="s">
        <v>151</v>
      </c>
      <c r="L194" s="24">
        <v>191</v>
      </c>
    </row>
    <row r="195" spans="1:12" x14ac:dyDescent="0.2">
      <c r="A195" s="3"/>
      <c r="B195" s="3"/>
      <c r="C195" s="3"/>
      <c r="D195" s="3"/>
      <c r="E195" s="3"/>
      <c r="F195" s="3"/>
      <c r="G195" s="13"/>
      <c r="H195" s="3"/>
      <c r="J195" s="27">
        <f t="shared" si="22"/>
        <v>192</v>
      </c>
      <c r="K195" s="1" t="s">
        <v>176</v>
      </c>
      <c r="L195" s="24">
        <v>192</v>
      </c>
    </row>
    <row r="196" spans="1:12" x14ac:dyDescent="0.2">
      <c r="A196" s="3"/>
      <c r="B196" s="3"/>
      <c r="C196" s="3"/>
      <c r="D196" s="3"/>
      <c r="E196" s="3"/>
      <c r="F196" s="3"/>
      <c r="G196" s="13"/>
      <c r="H196" s="3"/>
      <c r="J196" s="27">
        <f t="shared" si="22"/>
        <v>193</v>
      </c>
      <c r="K196" s="2" t="s">
        <v>42</v>
      </c>
      <c r="L196" s="24">
        <v>193</v>
      </c>
    </row>
    <row r="197" spans="1:12" x14ac:dyDescent="0.2">
      <c r="A197" s="3"/>
      <c r="B197" s="3"/>
      <c r="C197" s="3"/>
      <c r="D197" s="3"/>
      <c r="E197" s="3"/>
      <c r="F197" s="3"/>
      <c r="G197" s="13"/>
      <c r="H197" s="3"/>
      <c r="J197" s="27">
        <f t="shared" si="22"/>
        <v>194</v>
      </c>
      <c r="K197" s="1" t="s">
        <v>117</v>
      </c>
      <c r="L197" s="24">
        <v>194</v>
      </c>
    </row>
    <row r="198" spans="1:12" x14ac:dyDescent="0.2">
      <c r="A198" s="3"/>
      <c r="B198" s="3"/>
      <c r="C198" s="3"/>
      <c r="D198" s="3"/>
      <c r="E198" s="3"/>
      <c r="F198" s="3"/>
      <c r="G198" s="13"/>
      <c r="H198" s="3"/>
      <c r="J198" s="27">
        <f t="shared" si="22"/>
        <v>195</v>
      </c>
      <c r="K198" s="1" t="s">
        <v>152</v>
      </c>
      <c r="L198" s="24">
        <v>195</v>
      </c>
    </row>
    <row r="199" spans="1:12" x14ac:dyDescent="0.2">
      <c r="A199" s="3"/>
      <c r="B199" s="3"/>
      <c r="C199" s="3"/>
      <c r="D199" s="3"/>
      <c r="E199" s="3"/>
      <c r="F199" s="3"/>
      <c r="G199" s="13"/>
      <c r="H199" s="3"/>
      <c r="J199" s="27">
        <f t="shared" si="22"/>
        <v>196</v>
      </c>
      <c r="K199" s="1" t="s">
        <v>41</v>
      </c>
      <c r="L199" s="24">
        <v>196</v>
      </c>
    </row>
    <row r="200" spans="1:12" x14ac:dyDescent="0.2">
      <c r="A200" s="3"/>
      <c r="B200" s="3"/>
      <c r="C200" s="3"/>
      <c r="D200" s="3"/>
      <c r="E200" s="3"/>
      <c r="F200" s="3"/>
      <c r="G200" s="13"/>
      <c r="H200" s="3"/>
      <c r="J200" s="27">
        <f t="shared" si="22"/>
        <v>197</v>
      </c>
      <c r="K200" s="1" t="s">
        <v>13</v>
      </c>
      <c r="L200" s="24">
        <v>197</v>
      </c>
    </row>
    <row r="201" spans="1:12" x14ac:dyDescent="0.2">
      <c r="A201" s="3"/>
      <c r="B201" s="3"/>
      <c r="C201" s="3"/>
      <c r="D201" s="3"/>
      <c r="E201" s="3"/>
      <c r="F201" s="3"/>
      <c r="G201" s="13"/>
      <c r="H201" s="3"/>
      <c r="J201" s="27">
        <f t="shared" si="22"/>
        <v>198</v>
      </c>
      <c r="K201" s="2" t="s">
        <v>29</v>
      </c>
      <c r="L201" s="24">
        <v>198</v>
      </c>
    </row>
    <row r="202" spans="1:12" x14ac:dyDescent="0.2">
      <c r="A202" s="3"/>
      <c r="B202" s="3"/>
      <c r="C202" s="3"/>
      <c r="D202" s="3"/>
      <c r="E202" s="3"/>
      <c r="F202" s="3"/>
      <c r="G202" s="13"/>
      <c r="H202" s="3"/>
      <c r="J202" s="27">
        <f t="shared" si="22"/>
        <v>199</v>
      </c>
      <c r="K202" s="1" t="s">
        <v>6</v>
      </c>
      <c r="L202" s="24">
        <v>199</v>
      </c>
    </row>
    <row r="203" spans="1:12" x14ac:dyDescent="0.2">
      <c r="A203" s="3"/>
      <c r="B203" s="3"/>
      <c r="C203" s="3"/>
      <c r="D203" s="3"/>
      <c r="E203" s="3"/>
      <c r="F203" s="3"/>
      <c r="G203" s="13"/>
      <c r="H203" s="3"/>
      <c r="J203" s="27">
        <f t="shared" si="22"/>
        <v>200</v>
      </c>
      <c r="K203" s="1" t="s">
        <v>4</v>
      </c>
      <c r="L203" s="24">
        <v>200</v>
      </c>
    </row>
    <row r="204" spans="1:12" x14ac:dyDescent="0.2">
      <c r="A204" s="3"/>
      <c r="B204" s="3"/>
      <c r="C204" s="3"/>
      <c r="D204" s="3"/>
      <c r="E204" s="3"/>
      <c r="F204" s="3"/>
      <c r="G204" s="13"/>
      <c r="H204" s="3"/>
      <c r="J204" s="27">
        <f t="shared" si="22"/>
        <v>201</v>
      </c>
      <c r="K204" s="1" t="s">
        <v>13</v>
      </c>
      <c r="L204" s="24">
        <v>201</v>
      </c>
    </row>
    <row r="205" spans="1:12" x14ac:dyDescent="0.2">
      <c r="A205" s="3"/>
      <c r="B205" s="3"/>
      <c r="C205" s="3"/>
      <c r="D205" s="3"/>
      <c r="E205" s="3"/>
      <c r="F205" s="3"/>
      <c r="G205" s="13"/>
      <c r="H205" s="3"/>
      <c r="J205" s="27">
        <f t="shared" si="22"/>
        <v>202</v>
      </c>
      <c r="K205" s="2" t="s">
        <v>29</v>
      </c>
      <c r="L205" s="24">
        <v>202</v>
      </c>
    </row>
    <row r="206" spans="1:12" x14ac:dyDescent="0.2">
      <c r="A206" s="3"/>
      <c r="B206" s="3"/>
      <c r="C206" s="3"/>
      <c r="D206" s="3"/>
      <c r="E206" s="3"/>
      <c r="F206" s="3"/>
      <c r="G206" s="13"/>
      <c r="H206" s="3"/>
      <c r="J206" s="27">
        <f t="shared" si="22"/>
        <v>203</v>
      </c>
      <c r="K206" s="1" t="s">
        <v>153</v>
      </c>
      <c r="L206" s="24">
        <v>203</v>
      </c>
    </row>
    <row r="207" spans="1:12" x14ac:dyDescent="0.2">
      <c r="A207" s="3"/>
      <c r="B207" s="3"/>
      <c r="C207" s="3"/>
      <c r="D207" s="3"/>
      <c r="E207" s="3"/>
      <c r="F207" s="3"/>
      <c r="G207" s="13"/>
      <c r="H207" s="3"/>
      <c r="J207" s="27">
        <f t="shared" si="22"/>
        <v>204</v>
      </c>
      <c r="K207" s="1" t="s">
        <v>12</v>
      </c>
      <c r="L207" s="24">
        <v>204</v>
      </c>
    </row>
    <row r="208" spans="1:12" x14ac:dyDescent="0.2">
      <c r="A208" s="3"/>
      <c r="B208" s="3"/>
      <c r="C208" s="3"/>
      <c r="D208" s="3"/>
      <c r="E208" s="3"/>
      <c r="F208" s="3"/>
      <c r="G208" s="13"/>
      <c r="H208" s="3"/>
      <c r="J208" s="27">
        <f t="shared" si="22"/>
        <v>205</v>
      </c>
      <c r="K208" s="1" t="s">
        <v>13</v>
      </c>
      <c r="L208" s="24">
        <v>205</v>
      </c>
    </row>
    <row r="209" spans="1:12" x14ac:dyDescent="0.2">
      <c r="A209" s="3"/>
      <c r="B209" s="3"/>
      <c r="C209" s="3"/>
      <c r="D209" s="3"/>
      <c r="E209" s="3"/>
      <c r="F209" s="3"/>
      <c r="G209" s="13"/>
      <c r="H209" s="3"/>
      <c r="J209" s="27">
        <f t="shared" si="22"/>
        <v>206</v>
      </c>
      <c r="K209" s="1" t="s">
        <v>154</v>
      </c>
      <c r="L209" s="24">
        <v>206</v>
      </c>
    </row>
    <row r="210" spans="1:12" x14ac:dyDescent="0.2">
      <c r="A210" s="3"/>
      <c r="B210" s="3"/>
      <c r="C210" s="3"/>
      <c r="D210" s="3"/>
      <c r="E210" s="3"/>
      <c r="F210" s="3"/>
      <c r="G210" s="13"/>
      <c r="H210" s="3"/>
      <c r="J210" s="27">
        <f t="shared" si="22"/>
        <v>207</v>
      </c>
      <c r="K210" s="1" t="s">
        <v>126</v>
      </c>
      <c r="L210" s="24">
        <v>207</v>
      </c>
    </row>
    <row r="211" spans="1:12" x14ac:dyDescent="0.2">
      <c r="A211" s="3"/>
      <c r="B211" s="3"/>
      <c r="C211" s="3"/>
      <c r="D211" s="3"/>
      <c r="E211" s="3"/>
      <c r="F211" s="3"/>
      <c r="G211" s="13"/>
      <c r="H211" s="3"/>
      <c r="J211" s="27">
        <f t="shared" si="22"/>
        <v>208</v>
      </c>
      <c r="K211" s="1" t="s">
        <v>106</v>
      </c>
      <c r="L211" s="24">
        <v>208</v>
      </c>
    </row>
    <row r="212" spans="1:12" x14ac:dyDescent="0.2">
      <c r="A212" s="3"/>
      <c r="B212" s="3"/>
      <c r="C212" s="3"/>
      <c r="D212" s="3"/>
      <c r="E212" s="3"/>
      <c r="F212" s="3"/>
      <c r="G212" s="13"/>
      <c r="H212" s="3"/>
      <c r="J212" s="27">
        <f t="shared" si="22"/>
        <v>209</v>
      </c>
      <c r="K212" s="2" t="s">
        <v>6</v>
      </c>
      <c r="L212" s="24">
        <v>209</v>
      </c>
    </row>
    <row r="213" spans="1:12" x14ac:dyDescent="0.2">
      <c r="A213" s="3"/>
      <c r="B213" s="3"/>
      <c r="C213" s="3"/>
      <c r="D213" s="3"/>
      <c r="E213" s="3"/>
      <c r="F213" s="3"/>
      <c r="G213" s="13"/>
      <c r="H213" s="3"/>
      <c r="J213" s="27">
        <f t="shared" si="22"/>
        <v>210</v>
      </c>
      <c r="K213" s="1" t="s">
        <v>11</v>
      </c>
      <c r="L213" s="24">
        <v>210</v>
      </c>
    </row>
    <row r="214" spans="1:12" x14ac:dyDescent="0.2">
      <c r="A214" s="3"/>
      <c r="B214" s="3"/>
      <c r="C214" s="3"/>
      <c r="D214" s="3"/>
      <c r="E214" s="3"/>
      <c r="F214" s="3"/>
      <c r="G214" s="13"/>
      <c r="H214" s="3"/>
      <c r="J214" s="27">
        <f t="shared" si="22"/>
        <v>211</v>
      </c>
      <c r="K214" s="2" t="s">
        <v>26</v>
      </c>
      <c r="L214" s="24">
        <v>211</v>
      </c>
    </row>
    <row r="215" spans="1:12" x14ac:dyDescent="0.2">
      <c r="A215" s="3"/>
      <c r="B215" s="3"/>
      <c r="C215" s="3"/>
      <c r="D215" s="3"/>
      <c r="E215" s="3"/>
      <c r="F215" s="3"/>
      <c r="G215" s="13"/>
      <c r="H215" s="3"/>
      <c r="J215" s="27">
        <f t="shared" si="22"/>
        <v>212</v>
      </c>
      <c r="K215" s="1" t="s">
        <v>11</v>
      </c>
      <c r="L215" s="24">
        <v>212</v>
      </c>
    </row>
    <row r="216" spans="1:12" x14ac:dyDescent="0.2">
      <c r="A216" s="3"/>
      <c r="B216" s="3"/>
      <c r="C216" s="3"/>
      <c r="D216" s="3"/>
      <c r="E216" s="3"/>
      <c r="F216" s="3"/>
      <c r="G216" s="13"/>
      <c r="H216" s="3"/>
      <c r="J216" s="27">
        <f t="shared" si="22"/>
        <v>213</v>
      </c>
      <c r="K216" s="1" t="s">
        <v>127</v>
      </c>
      <c r="L216" s="24">
        <v>213</v>
      </c>
    </row>
    <row r="217" spans="1:12" x14ac:dyDescent="0.2">
      <c r="A217" s="3"/>
      <c r="B217" s="3"/>
      <c r="C217" s="3"/>
      <c r="D217" s="3"/>
      <c r="E217" s="3"/>
      <c r="F217" s="3"/>
      <c r="G217" s="13"/>
      <c r="H217" s="3"/>
      <c r="J217" s="27">
        <f t="shared" si="22"/>
        <v>214</v>
      </c>
      <c r="K217" s="1" t="s">
        <v>33</v>
      </c>
      <c r="L217" s="24">
        <v>214</v>
      </c>
    </row>
    <row r="218" spans="1:12" x14ac:dyDescent="0.2">
      <c r="A218" s="3"/>
      <c r="B218" s="3"/>
      <c r="C218" s="3"/>
      <c r="D218" s="3"/>
      <c r="E218" s="3"/>
      <c r="F218" s="3"/>
      <c r="G218" s="13"/>
      <c r="H218" s="3"/>
      <c r="J218" s="27">
        <f t="shared" si="22"/>
        <v>215</v>
      </c>
      <c r="K218" s="1" t="s">
        <v>43</v>
      </c>
      <c r="L218" s="24">
        <v>215</v>
      </c>
    </row>
    <row r="219" spans="1:12" x14ac:dyDescent="0.2">
      <c r="A219" s="3"/>
      <c r="B219" s="3"/>
      <c r="C219" s="3"/>
      <c r="D219" s="3"/>
      <c r="E219" s="3"/>
      <c r="F219" s="3"/>
      <c r="G219" s="13"/>
      <c r="H219" s="3"/>
      <c r="J219" s="27">
        <f t="shared" si="22"/>
        <v>216</v>
      </c>
      <c r="K219" s="1" t="s">
        <v>5</v>
      </c>
      <c r="L219" s="24">
        <v>216</v>
      </c>
    </row>
    <row r="220" spans="1:12" x14ac:dyDescent="0.2">
      <c r="A220" s="3"/>
      <c r="B220" s="3"/>
      <c r="C220" s="3"/>
      <c r="D220" s="3"/>
      <c r="E220" s="3"/>
      <c r="F220" s="3"/>
      <c r="G220" s="13"/>
      <c r="H220" s="3"/>
      <c r="J220" s="27">
        <f t="shared" si="22"/>
        <v>217</v>
      </c>
      <c r="K220" s="1" t="s">
        <v>41</v>
      </c>
      <c r="L220" s="24">
        <v>217</v>
      </c>
    </row>
    <row r="221" spans="1:12" x14ac:dyDescent="0.2">
      <c r="A221" s="3"/>
      <c r="B221" s="3"/>
      <c r="C221" s="3"/>
      <c r="D221" s="3"/>
      <c r="E221" s="3"/>
      <c r="F221" s="3"/>
      <c r="G221" s="13"/>
      <c r="H221" s="3"/>
      <c r="J221" s="27">
        <f t="shared" si="22"/>
        <v>218</v>
      </c>
      <c r="K221" s="1" t="s">
        <v>128</v>
      </c>
      <c r="L221" s="24">
        <v>218</v>
      </c>
    </row>
    <row r="222" spans="1:12" x14ac:dyDescent="0.2">
      <c r="A222" s="3"/>
      <c r="B222" s="3"/>
      <c r="C222" s="3"/>
      <c r="D222" s="3"/>
      <c r="E222" s="3"/>
      <c r="F222" s="3"/>
      <c r="G222" s="13"/>
      <c r="H222" s="3"/>
      <c r="J222" s="27">
        <f t="shared" si="22"/>
        <v>219</v>
      </c>
      <c r="K222" s="1" t="s">
        <v>263</v>
      </c>
      <c r="L222" s="24">
        <v>219</v>
      </c>
    </row>
    <row r="223" spans="1:12" x14ac:dyDescent="0.2">
      <c r="A223" s="3"/>
      <c r="B223" s="3"/>
      <c r="C223" s="3"/>
      <c r="D223" s="3"/>
      <c r="E223" s="3"/>
      <c r="F223" s="3"/>
      <c r="G223" s="13"/>
      <c r="H223" s="3"/>
      <c r="J223" s="27">
        <f t="shared" si="22"/>
        <v>220</v>
      </c>
      <c r="K223" s="1" t="s">
        <v>264</v>
      </c>
      <c r="L223" s="24">
        <v>220</v>
      </c>
    </row>
    <row r="224" spans="1:12" x14ac:dyDescent="0.2">
      <c r="A224" s="3"/>
      <c r="B224" s="3"/>
      <c r="C224" s="3"/>
      <c r="D224" s="3"/>
      <c r="E224" s="3"/>
      <c r="F224" s="3"/>
      <c r="G224" s="13"/>
      <c r="H224" s="3"/>
      <c r="J224" s="27">
        <f t="shared" si="22"/>
        <v>221</v>
      </c>
      <c r="K224" s="1" t="s">
        <v>265</v>
      </c>
      <c r="L224" s="24">
        <v>221</v>
      </c>
    </row>
    <row r="225" spans="1:8" x14ac:dyDescent="0.2">
      <c r="A225" s="3"/>
      <c r="B225" s="3"/>
      <c r="C225" s="3"/>
      <c r="D225" s="3"/>
      <c r="E225" s="3"/>
      <c r="F225" s="3"/>
      <c r="G225" s="13"/>
      <c r="H225" s="3"/>
    </row>
    <row r="226" spans="1:8" x14ac:dyDescent="0.2">
      <c r="A226" s="3"/>
      <c r="B226" s="3"/>
      <c r="C226" s="3"/>
      <c r="D226" s="3"/>
      <c r="E226" s="3"/>
      <c r="F226" s="3"/>
      <c r="G226" s="13"/>
      <c r="H226" s="3"/>
    </row>
    <row r="227" spans="1:8" x14ac:dyDescent="0.2">
      <c r="A227" s="3"/>
      <c r="B227" s="3"/>
      <c r="C227" s="3"/>
      <c r="D227" s="3"/>
      <c r="E227" s="3"/>
      <c r="F227" s="3"/>
      <c r="G227" s="13"/>
      <c r="H227" s="3"/>
    </row>
    <row r="228" spans="1:8" x14ac:dyDescent="0.2">
      <c r="A228" s="3"/>
      <c r="B228" s="3"/>
      <c r="C228" s="3"/>
      <c r="D228" s="3"/>
      <c r="E228" s="3"/>
      <c r="F228" s="3"/>
      <c r="G228" s="13"/>
      <c r="H228" s="3"/>
    </row>
    <row r="229" spans="1:8" x14ac:dyDescent="0.2">
      <c r="A229" s="3"/>
      <c r="B229" s="3"/>
      <c r="C229" s="3"/>
      <c r="D229" s="3"/>
      <c r="E229" s="3"/>
      <c r="F229" s="3"/>
      <c r="G229" s="13"/>
      <c r="H229" s="3"/>
    </row>
    <row r="230" spans="1:8" x14ac:dyDescent="0.2">
      <c r="A230" s="3"/>
      <c r="B230" s="3"/>
      <c r="C230" s="3"/>
      <c r="D230" s="3"/>
      <c r="E230" s="3"/>
      <c r="F230" s="3"/>
      <c r="G230" s="3"/>
      <c r="H230" s="3"/>
    </row>
    <row r="231" spans="1:8" x14ac:dyDescent="0.2">
      <c r="A231" s="3"/>
      <c r="B231" s="3"/>
      <c r="C231" s="3"/>
      <c r="D231" s="3"/>
      <c r="E231" s="3"/>
      <c r="F231" s="3"/>
      <c r="G231" s="3"/>
      <c r="H231" s="3"/>
    </row>
    <row r="232" spans="1:8" x14ac:dyDescent="0.2">
      <c r="A232" s="3"/>
      <c r="B232" s="3"/>
      <c r="C232" s="3"/>
      <c r="D232" s="3"/>
      <c r="E232" s="3"/>
      <c r="F232" s="3"/>
      <c r="G232" s="3"/>
      <c r="H232" s="3"/>
    </row>
    <row r="233" spans="1:8" x14ac:dyDescent="0.2">
      <c r="A233" s="3"/>
      <c r="B233" s="3"/>
      <c r="C233" s="3"/>
      <c r="D233" s="3"/>
      <c r="E233" s="3"/>
      <c r="F233" s="3"/>
      <c r="G233" s="3"/>
      <c r="H233" s="3"/>
    </row>
    <row r="234" spans="1:8" x14ac:dyDescent="0.2">
      <c r="A234" s="3"/>
      <c r="B234" s="3"/>
      <c r="C234" s="3"/>
      <c r="D234" s="3"/>
      <c r="E234" s="3"/>
      <c r="F234" s="3"/>
      <c r="G234" s="3"/>
      <c r="H234" s="3"/>
    </row>
    <row r="235" spans="1:8" x14ac:dyDescent="0.2">
      <c r="A235" s="3"/>
      <c r="B235" s="3"/>
      <c r="C235" s="3"/>
      <c r="D235" s="3"/>
      <c r="E235" s="3"/>
      <c r="F235" s="3"/>
      <c r="G235" s="3"/>
      <c r="H235" s="3"/>
    </row>
    <row r="236" spans="1:8" x14ac:dyDescent="0.2">
      <c r="A236" s="3"/>
      <c r="B236" s="3"/>
      <c r="C236" s="3"/>
      <c r="D236" s="3"/>
      <c r="E236" s="3"/>
      <c r="F236" s="3"/>
      <c r="G236" s="3"/>
      <c r="H236" s="3"/>
    </row>
    <row r="237" spans="1:8" x14ac:dyDescent="0.2">
      <c r="A237" s="3"/>
      <c r="B237" s="3"/>
      <c r="C237" s="3"/>
      <c r="D237" s="3"/>
      <c r="E237" s="3"/>
      <c r="F237" s="3"/>
      <c r="G237" s="3"/>
      <c r="H237" s="3"/>
    </row>
    <row r="238" spans="1:8" x14ac:dyDescent="0.2">
      <c r="A238" s="3"/>
      <c r="B238" s="3"/>
      <c r="C238" s="3"/>
      <c r="D238" s="3"/>
      <c r="E238" s="3"/>
      <c r="F238" s="3"/>
      <c r="G238" s="3"/>
      <c r="H238" s="3"/>
    </row>
    <row r="239" spans="1:8" x14ac:dyDescent="0.2">
      <c r="A239" s="3"/>
      <c r="B239" s="3"/>
      <c r="C239" s="3"/>
      <c r="D239" s="3"/>
      <c r="E239" s="3"/>
      <c r="F239" s="3"/>
      <c r="G239" s="3"/>
      <c r="H239" s="3"/>
    </row>
    <row r="240" spans="1:8" x14ac:dyDescent="0.2">
      <c r="A240" s="3"/>
      <c r="B240" s="3"/>
      <c r="C240" s="3"/>
      <c r="D240" s="3"/>
      <c r="E240" s="3"/>
      <c r="F240" s="3"/>
      <c r="G240" s="3"/>
      <c r="H240" s="3"/>
    </row>
    <row r="241" spans="1:8" x14ac:dyDescent="0.2">
      <c r="A241" s="3"/>
      <c r="B241" s="3"/>
      <c r="C241" s="3"/>
      <c r="D241" s="3"/>
      <c r="E241" s="3"/>
      <c r="F241" s="3"/>
      <c r="G241" s="3"/>
      <c r="H241" s="3"/>
    </row>
    <row r="242" spans="1:8" x14ac:dyDescent="0.2">
      <c r="A242" s="3"/>
      <c r="B242" s="3"/>
      <c r="C242" s="3"/>
      <c r="D242" s="3"/>
      <c r="E242" s="3"/>
      <c r="F242" s="3"/>
      <c r="G242" s="3"/>
      <c r="H242" s="3"/>
    </row>
    <row r="243" spans="1:8" x14ac:dyDescent="0.2">
      <c r="A243" s="3"/>
      <c r="B243" s="3"/>
      <c r="C243" s="3"/>
      <c r="D243" s="3"/>
      <c r="E243" s="3"/>
      <c r="F243" s="3"/>
      <c r="G243" s="3"/>
      <c r="H243" s="3"/>
    </row>
    <row r="244" spans="1:8" x14ac:dyDescent="0.2">
      <c r="A244" s="3"/>
      <c r="B244" s="3"/>
      <c r="C244" s="3"/>
      <c r="D244" s="3"/>
      <c r="E244" s="3"/>
      <c r="F244" s="3"/>
      <c r="G244" s="3"/>
      <c r="H244" s="3"/>
    </row>
  </sheetData>
  <mergeCells count="4">
    <mergeCell ref="D3:F3"/>
    <mergeCell ref="J3:L3"/>
    <mergeCell ref="G3:I3"/>
    <mergeCell ref="A3:C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5</vt:i4>
      </vt:variant>
    </vt:vector>
  </HeadingPairs>
  <TitlesOfParts>
    <vt:vector size="15" baseType="lpstr">
      <vt:lpstr>Lees mij</vt:lpstr>
      <vt:lpstr>Innovatieve Duurzame opties</vt:lpstr>
      <vt:lpstr>Invoer en resultaat</vt:lpstr>
      <vt:lpstr>Database</vt:lpstr>
      <vt:lpstr>MKI-waarden</vt:lpstr>
      <vt:lpstr>Uitleg invoer</vt:lpstr>
      <vt:lpstr>Uitleg uitvoer</vt:lpstr>
      <vt:lpstr>Uitleg referentie</vt:lpstr>
      <vt:lpstr>Keuzemenu Functie</vt:lpstr>
      <vt:lpstr>Uitleg Kleurcode relatieve MKI</vt:lpstr>
      <vt:lpstr>'Invoer en resultaat'!Afdrukbereik</vt:lpstr>
      <vt:lpstr>Elementenvariantenlijst</vt:lpstr>
      <vt:lpstr>Materialenlijst</vt:lpstr>
      <vt:lpstr>Objectenvariantenlijst</vt:lpstr>
      <vt:lpstr>Database!Peilscheiding_Stuw__Damwand</vt:lpstr>
    </vt:vector>
  </TitlesOfParts>
  <Company>HDSR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Arjan Koerhuis</dc:creator>
  <cp:lastModifiedBy>Linde Reidsma</cp:lastModifiedBy>
  <cp:lastPrinted>2021-04-15T12:46:54Z</cp:lastPrinted>
  <dcterms:created xsi:type="dcterms:W3CDTF">2020-08-20T09:47:40Z</dcterms:created>
  <dcterms:modified xsi:type="dcterms:W3CDTF">2022-10-05T09:26:35Z</dcterms:modified>
</cp:coreProperties>
</file>